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16605" windowHeight="7995"/>
  </bookViews>
  <sheets>
    <sheet name="Instrucciones de uso" sheetId="3" r:id="rId1"/>
    <sheet name="Antic.C.Ajena" sheetId="5" r:id="rId2"/>
    <sheet name="Antic.Volunt." sheetId="7" r:id="rId3"/>
  </sheets>
  <calcPr calcId="125725"/>
</workbook>
</file>

<file path=xl/calcChain.xml><?xml version="1.0" encoding="utf-8"?>
<calcChain xmlns="http://schemas.openxmlformats.org/spreadsheetml/2006/main">
  <c r="C64" i="7"/>
  <c r="C57"/>
  <c r="C50"/>
  <c r="C43"/>
  <c r="C36"/>
  <c r="C29"/>
  <c r="C22"/>
  <c r="C15"/>
  <c r="C8"/>
  <c r="C78" i="5"/>
  <c r="C71"/>
  <c r="C64"/>
  <c r="C57"/>
  <c r="C50"/>
  <c r="C43"/>
  <c r="C36"/>
  <c r="C29"/>
  <c r="C22"/>
  <c r="C15"/>
  <c r="C8"/>
  <c r="J62" i="3"/>
  <c r="J61"/>
  <c r="J60"/>
  <c r="J59"/>
  <c r="J58"/>
  <c r="J57"/>
  <c r="J56"/>
  <c r="J55"/>
  <c r="J54"/>
  <c r="J53"/>
  <c r="J52"/>
  <c r="G62"/>
  <c r="G52"/>
  <c r="A52"/>
  <c r="F55"/>
  <c r="A60"/>
  <c r="A23"/>
  <c r="A24"/>
  <c r="I63" i="7"/>
  <c r="I56"/>
  <c r="I49"/>
  <c r="I42"/>
  <c r="I35"/>
  <c r="I28"/>
  <c r="I21"/>
  <c r="I14"/>
  <c r="I7"/>
  <c r="F53" i="3"/>
  <c r="F54" s="1"/>
  <c r="J14"/>
  <c r="F42"/>
  <c r="F43" s="1"/>
  <c r="F44" s="1"/>
  <c r="F45" s="1"/>
  <c r="F46" s="1"/>
  <c r="F47" s="1"/>
  <c r="F48" s="1"/>
  <c r="F49" s="1"/>
  <c r="F41"/>
  <c r="I77" i="5"/>
  <c r="I70"/>
  <c r="I63"/>
  <c r="I56"/>
  <c r="I49"/>
  <c r="I42"/>
  <c r="I35"/>
  <c r="I28"/>
  <c r="I21"/>
  <c r="I14"/>
  <c r="I7"/>
  <c r="F56" i="3" l="1"/>
  <c r="G61"/>
  <c r="G53"/>
  <c r="G60"/>
  <c r="G59"/>
  <c r="G58"/>
  <c r="G57"/>
  <c r="G56"/>
  <c r="G55"/>
  <c r="G54"/>
  <c r="F57" l="1"/>
  <c r="F58" s="1"/>
  <c r="F59" s="1"/>
  <c r="F60" s="1"/>
  <c r="F61" s="1"/>
  <c r="R62"/>
  <c r="E52"/>
  <c r="E53" s="1"/>
  <c r="E54" s="1"/>
  <c r="E55" s="1"/>
  <c r="E56" s="1"/>
  <c r="E57" s="1"/>
  <c r="E58" s="1"/>
  <c r="E59" s="1"/>
  <c r="E60" s="1"/>
  <c r="E61" s="1"/>
  <c r="C14"/>
  <c r="C12"/>
  <c r="M52" l="1"/>
  <c r="R52"/>
  <c r="H52"/>
  <c r="K52" s="1"/>
  <c r="I52"/>
  <c r="A61"/>
  <c r="R61" s="1"/>
  <c r="A59"/>
  <c r="R59" s="1"/>
  <c r="A57"/>
  <c r="R57" s="1"/>
  <c r="A55"/>
  <c r="R55" s="1"/>
  <c r="A53"/>
  <c r="R53" s="1"/>
  <c r="A62"/>
  <c r="R60"/>
  <c r="A58"/>
  <c r="R58" s="1"/>
  <c r="A56"/>
  <c r="R56" s="1"/>
  <c r="A54"/>
  <c r="R54" s="1"/>
  <c r="B13"/>
  <c r="M54" l="1"/>
  <c r="I54"/>
  <c r="H54"/>
  <c r="M58"/>
  <c r="I58"/>
  <c r="H58"/>
  <c r="M62"/>
  <c r="I62"/>
  <c r="H62"/>
  <c r="M55"/>
  <c r="I55"/>
  <c r="H55"/>
  <c r="M59"/>
  <c r="I59"/>
  <c r="H59"/>
  <c r="M56"/>
  <c r="I56"/>
  <c r="H56"/>
  <c r="M60"/>
  <c r="I60"/>
  <c r="H60"/>
  <c r="M57"/>
  <c r="I57"/>
  <c r="H57"/>
  <c r="M61"/>
  <c r="I61"/>
  <c r="H61"/>
  <c r="I53" l="1"/>
  <c r="M53"/>
  <c r="H53"/>
  <c r="K53" s="1"/>
  <c r="K54" s="1"/>
  <c r="K55" l="1"/>
  <c r="J18" i="7"/>
  <c r="J18" i="5"/>
  <c r="N54" i="3"/>
  <c r="L54"/>
  <c r="N53"/>
  <c r="P53" s="1"/>
  <c r="E11" i="7" s="1"/>
  <c r="J11"/>
  <c r="L53" i="3"/>
  <c r="J11" i="5"/>
  <c r="B20" l="1"/>
  <c r="B20" i="7"/>
  <c r="K56" i="3"/>
  <c r="J25" i="7"/>
  <c r="J25" i="5"/>
  <c r="N55" i="3"/>
  <c r="L55"/>
  <c r="O54"/>
  <c r="P54"/>
  <c r="O53"/>
  <c r="B13" i="5"/>
  <c r="B14" s="1"/>
  <c r="B12" s="1"/>
  <c r="B13" i="7"/>
  <c r="C13" i="5"/>
  <c r="E11"/>
  <c r="Q53" i="3"/>
  <c r="E18" i="7" l="1"/>
  <c r="Q54" i="3"/>
  <c r="E18" i="5"/>
  <c r="B27"/>
  <c r="B27" i="7"/>
  <c r="K57" i="3"/>
  <c r="J32" i="7"/>
  <c r="L56" i="3"/>
  <c r="J32" i="5"/>
  <c r="N56" i="3"/>
  <c r="B21" i="5"/>
  <c r="B19" s="1"/>
  <c r="C20"/>
  <c r="O55" i="3"/>
  <c r="P55"/>
  <c r="C20" i="7"/>
  <c r="B21"/>
  <c r="B19" s="1"/>
  <c r="F11" i="5"/>
  <c r="F11" i="7"/>
  <c r="B14"/>
  <c r="B12" s="1"/>
  <c r="C13"/>
  <c r="E25" l="1"/>
  <c r="Q55" i="3"/>
  <c r="E25" i="5"/>
  <c r="B28" i="7"/>
  <c r="B26" s="1"/>
  <c r="C27"/>
  <c r="P56" i="3"/>
  <c r="O56"/>
  <c r="B34" i="7"/>
  <c r="B34" i="5"/>
  <c r="K58" i="3"/>
  <c r="N57"/>
  <c r="J39" i="5"/>
  <c r="L57" i="3"/>
  <c r="J39" i="7"/>
  <c r="B28" i="5"/>
  <c r="B26" s="1"/>
  <c r="C27"/>
  <c r="F18"/>
  <c r="F18" i="7"/>
  <c r="L52" i="3"/>
  <c r="B6" i="7" s="1"/>
  <c r="J4"/>
  <c r="B6" i="5"/>
  <c r="B7" s="1"/>
  <c r="B5" s="1"/>
  <c r="N52" i="3"/>
  <c r="J4" i="5"/>
  <c r="C13" i="3" s="1"/>
  <c r="B41" i="7" l="1"/>
  <c r="B41" i="5"/>
  <c r="P57" i="3"/>
  <c r="O57"/>
  <c r="B35" i="5"/>
  <c r="B33" s="1"/>
  <c r="C34"/>
  <c r="K59" i="3"/>
  <c r="J46" i="7"/>
  <c r="J46" i="5"/>
  <c r="N58" i="3"/>
  <c r="L58"/>
  <c r="B35" i="7"/>
  <c r="B33" s="1"/>
  <c r="C34"/>
  <c r="E32"/>
  <c r="E32" i="5"/>
  <c r="Q56" i="3"/>
  <c r="F25" i="7"/>
  <c r="F25" i="5"/>
  <c r="C6"/>
  <c r="C6" i="7"/>
  <c r="B7"/>
  <c r="B5" s="1"/>
  <c r="O52" i="3"/>
  <c r="P52"/>
  <c r="E4" i="7" s="1"/>
  <c r="B48" l="1"/>
  <c r="B48" i="5"/>
  <c r="K60" i="3"/>
  <c r="J53" i="5"/>
  <c r="J53" i="7"/>
  <c r="N59" i="3"/>
  <c r="L59"/>
  <c r="E39" i="7"/>
  <c r="E39" i="5"/>
  <c r="Q57" i="3"/>
  <c r="C41" i="7"/>
  <c r="B42"/>
  <c r="B40" s="1"/>
  <c r="F32" i="5"/>
  <c r="F32" i="7"/>
  <c r="O58" i="3"/>
  <c r="P58"/>
  <c r="B42" i="5"/>
  <c r="B40" s="1"/>
  <c r="C41"/>
  <c r="C5"/>
  <c r="C5" i="7"/>
  <c r="C7" s="1"/>
  <c r="C7" i="5"/>
  <c r="B4"/>
  <c r="E4"/>
  <c r="Q52" i="3"/>
  <c r="B55" i="7" l="1"/>
  <c r="B55" i="5"/>
  <c r="K61" i="3"/>
  <c r="J60" i="7"/>
  <c r="N60" i="3"/>
  <c r="J60" i="5"/>
  <c r="L60" i="3"/>
  <c r="C48" i="7"/>
  <c r="B49"/>
  <c r="B47" s="1"/>
  <c r="E46"/>
  <c r="Q58" i="3"/>
  <c r="E46" i="5"/>
  <c r="F39"/>
  <c r="F39" i="7"/>
  <c r="P59" i="3"/>
  <c r="O59"/>
  <c r="B49" i="5"/>
  <c r="B47" s="1"/>
  <c r="C48"/>
  <c r="B39"/>
  <c r="D43" s="1"/>
  <c r="F4"/>
  <c r="B8" s="1"/>
  <c r="F4" i="7"/>
  <c r="B4"/>
  <c r="B11" i="5"/>
  <c r="B53"/>
  <c r="B46"/>
  <c r="D50" s="1"/>
  <c r="B60"/>
  <c r="C54"/>
  <c r="D55"/>
  <c r="C40"/>
  <c r="C42" s="1"/>
  <c r="E41"/>
  <c r="G41"/>
  <c r="F41"/>
  <c r="D41"/>
  <c r="C12"/>
  <c r="C14" s="1"/>
  <c r="E13"/>
  <c r="G13"/>
  <c r="F13"/>
  <c r="D13"/>
  <c r="C47"/>
  <c r="C49" s="1"/>
  <c r="G48"/>
  <c r="F48"/>
  <c r="D48"/>
  <c r="E48"/>
  <c r="G62"/>
  <c r="D62"/>
  <c r="B32"/>
  <c r="D36" s="1"/>
  <c r="G6"/>
  <c r="F6"/>
  <c r="E6"/>
  <c r="D6"/>
  <c r="B25"/>
  <c r="B18"/>
  <c r="B15"/>
  <c r="D15" s="1"/>
  <c r="E15" s="1"/>
  <c r="F15" s="1"/>
  <c r="G15" s="1"/>
  <c r="H15" s="1"/>
  <c r="B43"/>
  <c r="E53" i="7" l="1"/>
  <c r="E53" i="5"/>
  <c r="Q59" i="3"/>
  <c r="F46" i="5"/>
  <c r="B50" s="1"/>
  <c r="F46" i="7"/>
  <c r="B62"/>
  <c r="B62" i="5"/>
  <c r="O60" i="3"/>
  <c r="P60"/>
  <c r="K62"/>
  <c r="L61"/>
  <c r="B69" i="5" s="1"/>
  <c r="N61" i="3"/>
  <c r="J67" i="5"/>
  <c r="C55" i="7"/>
  <c r="B56"/>
  <c r="B54" s="1"/>
  <c r="B56" i="5"/>
  <c r="B54" s="1"/>
  <c r="C55"/>
  <c r="C56" s="1"/>
  <c r="F6" i="7"/>
  <c r="D6"/>
  <c r="G6"/>
  <c r="E6"/>
  <c r="C61" i="5"/>
  <c r="D64"/>
  <c r="E55"/>
  <c r="D57"/>
  <c r="D58" s="1"/>
  <c r="D8"/>
  <c r="E8" s="1"/>
  <c r="F8" s="1"/>
  <c r="G8" s="1"/>
  <c r="H8" s="1"/>
  <c r="E62"/>
  <c r="F62"/>
  <c r="G55"/>
  <c r="B25" i="7"/>
  <c r="B11"/>
  <c r="B39"/>
  <c r="B60"/>
  <c r="B18"/>
  <c r="B53"/>
  <c r="B46"/>
  <c r="B32"/>
  <c r="B8"/>
  <c r="D8" s="1"/>
  <c r="E8" s="1"/>
  <c r="F8" s="1"/>
  <c r="G8" s="1"/>
  <c r="H8" s="1"/>
  <c r="F55" i="5"/>
  <c r="C26"/>
  <c r="C28" s="1"/>
  <c r="E27"/>
  <c r="G27"/>
  <c r="F27"/>
  <c r="D27"/>
  <c r="D51"/>
  <c r="D16"/>
  <c r="D44"/>
  <c r="C19"/>
  <c r="C21" s="1"/>
  <c r="G20"/>
  <c r="F20"/>
  <c r="D20"/>
  <c r="E20"/>
  <c r="C33"/>
  <c r="C35" s="1"/>
  <c r="G34"/>
  <c r="F34"/>
  <c r="D34"/>
  <c r="E34"/>
  <c r="D65"/>
  <c r="B9"/>
  <c r="E43"/>
  <c r="F43" s="1"/>
  <c r="G43" s="1"/>
  <c r="H43" s="1"/>
  <c r="I15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6"/>
  <c r="B67" l="1"/>
  <c r="C68" s="1"/>
  <c r="C70" s="1"/>
  <c r="B70"/>
  <c r="B68" s="1"/>
  <c r="C69"/>
  <c r="E60" i="7"/>
  <c r="Q60" i="3"/>
  <c r="E60" i="5"/>
  <c r="B63"/>
  <c r="B61" s="1"/>
  <c r="C62"/>
  <c r="C63" s="1"/>
  <c r="F53"/>
  <c r="B57" s="1"/>
  <c r="B58" s="1"/>
  <c r="F53" i="7"/>
  <c r="P61" i="3"/>
  <c r="O61"/>
  <c r="J74" i="5"/>
  <c r="N62" i="3"/>
  <c r="L62"/>
  <c r="B76" i="5" s="1"/>
  <c r="C62" i="7"/>
  <c r="B63"/>
  <c r="B61" s="1"/>
  <c r="D36"/>
  <c r="F34"/>
  <c r="D34"/>
  <c r="G34"/>
  <c r="E34"/>
  <c r="F55"/>
  <c r="D55"/>
  <c r="D57"/>
  <c r="G55"/>
  <c r="E55"/>
  <c r="D64"/>
  <c r="F62"/>
  <c r="D62"/>
  <c r="G62"/>
  <c r="E62"/>
  <c r="F13"/>
  <c r="D13"/>
  <c r="G13"/>
  <c r="E13"/>
  <c r="E57" i="5"/>
  <c r="F57" s="1"/>
  <c r="G57" s="1"/>
  <c r="H57" s="1"/>
  <c r="E64"/>
  <c r="D50" i="7"/>
  <c r="F48"/>
  <c r="D48"/>
  <c r="G48"/>
  <c r="E48"/>
  <c r="F20"/>
  <c r="D20"/>
  <c r="G20"/>
  <c r="E20"/>
  <c r="F41"/>
  <c r="D41"/>
  <c r="D43"/>
  <c r="G41"/>
  <c r="E41"/>
  <c r="F27"/>
  <c r="D27"/>
  <c r="G27"/>
  <c r="E27"/>
  <c r="I43" i="5"/>
  <c r="J43" s="1"/>
  <c r="K43" s="1"/>
  <c r="L43" s="1"/>
  <c r="M43" s="1"/>
  <c r="N43" s="1"/>
  <c r="O43" s="1"/>
  <c r="P43" s="1"/>
  <c r="Q43" s="1"/>
  <c r="R43" s="1"/>
  <c r="S43" s="1"/>
  <c r="T43" s="1"/>
  <c r="U43" s="1"/>
  <c r="V43" s="1"/>
  <c r="W43" s="1"/>
  <c r="X43" s="1"/>
  <c r="Y43" s="1"/>
  <c r="Z43" s="1"/>
  <c r="AA43" s="1"/>
  <c r="AB43" s="1"/>
  <c r="AC43" s="1"/>
  <c r="AD43" s="1"/>
  <c r="AE43" s="1"/>
  <c r="AF43" s="1"/>
  <c r="AG43" s="1"/>
  <c r="E50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D9"/>
  <c r="C40" i="7"/>
  <c r="C12"/>
  <c r="C26"/>
  <c r="B9"/>
  <c r="C33"/>
  <c r="C47"/>
  <c r="C54"/>
  <c r="C19"/>
  <c r="C61"/>
  <c r="B44" i="5"/>
  <c r="B51"/>
  <c r="I57"/>
  <c r="J57" s="1"/>
  <c r="K57" s="1"/>
  <c r="L57" s="1"/>
  <c r="M57" s="1"/>
  <c r="N57" s="1"/>
  <c r="O57" s="1"/>
  <c r="P57" s="1"/>
  <c r="Q57" s="1"/>
  <c r="R57" s="1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AG57" s="1"/>
  <c r="B22"/>
  <c r="B29"/>
  <c r="E16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B36"/>
  <c r="E65"/>
  <c r="E58"/>
  <c r="E44"/>
  <c r="F44" s="1"/>
  <c r="G44" s="1"/>
  <c r="H44" s="1"/>
  <c r="I44" s="1"/>
  <c r="J44" s="1"/>
  <c r="K44" s="1"/>
  <c r="L44" s="1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Z44" s="1"/>
  <c r="AA44" s="1"/>
  <c r="AB44" s="1"/>
  <c r="AC44" s="1"/>
  <c r="AD44" s="1"/>
  <c r="AE44" s="1"/>
  <c r="AF44" s="1"/>
  <c r="AG44" s="1"/>
  <c r="E51"/>
  <c r="F51" s="1"/>
  <c r="G51" s="1"/>
  <c r="H51" s="1"/>
  <c r="O62" i="3" l="1"/>
  <c r="P62"/>
  <c r="B77" i="5"/>
  <c r="B75" s="1"/>
  <c r="C76"/>
  <c r="B74"/>
  <c r="C75" s="1"/>
  <c r="E67"/>
  <c r="Q61" i="3"/>
  <c r="F67" i="5" s="1"/>
  <c r="B71" s="1"/>
  <c r="B72" s="1"/>
  <c r="F60" i="7"/>
  <c r="F60" i="5"/>
  <c r="B64" s="1"/>
  <c r="D69"/>
  <c r="D71"/>
  <c r="F69"/>
  <c r="E69"/>
  <c r="G69"/>
  <c r="B65"/>
  <c r="I51"/>
  <c r="J51" s="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B64" i="7"/>
  <c r="C63"/>
  <c r="C56"/>
  <c r="B57"/>
  <c r="C35"/>
  <c r="B36"/>
  <c r="B15"/>
  <c r="C14"/>
  <c r="C21"/>
  <c r="B22"/>
  <c r="B50"/>
  <c r="C49"/>
  <c r="D51"/>
  <c r="D9"/>
  <c r="I8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C28"/>
  <c r="B29"/>
  <c r="B43"/>
  <c r="C42"/>
  <c r="D65"/>
  <c r="F58" i="5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8" s="1"/>
  <c r="D22"/>
  <c r="E22" s="1"/>
  <c r="F22" s="1"/>
  <c r="G22" s="1"/>
  <c r="H22" s="1"/>
  <c r="I8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E9"/>
  <c r="D72" l="1"/>
  <c r="E71"/>
  <c r="F71" s="1"/>
  <c r="G71" s="1"/>
  <c r="H71" s="1"/>
  <c r="I71" s="1"/>
  <c r="J71" s="1"/>
  <c r="K71" s="1"/>
  <c r="L71" s="1"/>
  <c r="M71" s="1"/>
  <c r="N71" s="1"/>
  <c r="O71" s="1"/>
  <c r="P71" s="1"/>
  <c r="Q71" s="1"/>
  <c r="R71" s="1"/>
  <c r="S71" s="1"/>
  <c r="T71" s="1"/>
  <c r="U71" s="1"/>
  <c r="V71" s="1"/>
  <c r="W71" s="1"/>
  <c r="X71" s="1"/>
  <c r="Y71" s="1"/>
  <c r="Z71" s="1"/>
  <c r="AA71" s="1"/>
  <c r="AB71" s="1"/>
  <c r="AC71" s="1"/>
  <c r="AD71" s="1"/>
  <c r="AE71" s="1"/>
  <c r="AF71" s="1"/>
  <c r="AG71" s="1"/>
  <c r="F64"/>
  <c r="C77"/>
  <c r="D78"/>
  <c r="F76"/>
  <c r="G76"/>
  <c r="E76"/>
  <c r="D76"/>
  <c r="Q62" i="3"/>
  <c r="F74" i="5" s="1"/>
  <c r="B78" s="1"/>
  <c r="E74"/>
  <c r="B79"/>
  <c r="D29"/>
  <c r="E29" s="1"/>
  <c r="F29" s="1"/>
  <c r="G29" s="1"/>
  <c r="E36"/>
  <c r="F36" s="1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D58" i="7"/>
  <c r="E64"/>
  <c r="F64" s="1"/>
  <c r="G64" s="1"/>
  <c r="H64" s="1"/>
  <c r="E9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D37"/>
  <c r="B58"/>
  <c r="D15"/>
  <c r="E15" s="1"/>
  <c r="F15" s="1"/>
  <c r="G15" s="1"/>
  <c r="H15" s="1"/>
  <c r="D44"/>
  <c r="D29"/>
  <c r="E29" s="1"/>
  <c r="F29" s="1"/>
  <c r="G29" s="1"/>
  <c r="H29" s="1"/>
  <c r="B23"/>
  <c r="B37" i="5"/>
  <c r="B30"/>
  <c r="D37"/>
  <c r="H29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B23"/>
  <c r="F9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E37" l="1"/>
  <c r="F37" s="1"/>
  <c r="G37" s="1"/>
  <c r="H37" s="1"/>
  <c r="E78"/>
  <c r="F78" s="1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AA78" s="1"/>
  <c r="AB78" s="1"/>
  <c r="AC78" s="1"/>
  <c r="AD78" s="1"/>
  <c r="AE78" s="1"/>
  <c r="AF78" s="1"/>
  <c r="AG78" s="1"/>
  <c r="D79"/>
  <c r="G64"/>
  <c r="H64" s="1"/>
  <c r="I64" s="1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s="1"/>
  <c r="X64" s="1"/>
  <c r="Y64" s="1"/>
  <c r="Z64" s="1"/>
  <c r="AA64" s="1"/>
  <c r="AB64" s="1"/>
  <c r="AC64" s="1"/>
  <c r="AD64" s="1"/>
  <c r="AE64" s="1"/>
  <c r="AF64" s="1"/>
  <c r="AG64" s="1"/>
  <c r="F65"/>
  <c r="E72"/>
  <c r="F72" s="1"/>
  <c r="G72" s="1"/>
  <c r="H72" s="1"/>
  <c r="I72" s="1"/>
  <c r="J72" s="1"/>
  <c r="K72" s="1"/>
  <c r="L72" s="1"/>
  <c r="M72" s="1"/>
  <c r="N72" s="1"/>
  <c r="O72" s="1"/>
  <c r="P72" s="1"/>
  <c r="Q72" s="1"/>
  <c r="R72" s="1"/>
  <c r="S72" s="1"/>
  <c r="T72" s="1"/>
  <c r="U72" s="1"/>
  <c r="V72" s="1"/>
  <c r="W72" s="1"/>
  <c r="X72" s="1"/>
  <c r="Y72" s="1"/>
  <c r="Z72" s="1"/>
  <c r="AA72" s="1"/>
  <c r="AB72" s="1"/>
  <c r="AC72" s="1"/>
  <c r="AD72" s="1"/>
  <c r="AE72" s="1"/>
  <c r="AF72" s="1"/>
  <c r="AG72" s="1"/>
  <c r="E50" i="7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B44"/>
  <c r="E43"/>
  <c r="F43" s="1"/>
  <c r="G43" s="1"/>
  <c r="H43" s="1"/>
  <c r="D22"/>
  <c r="E22" s="1"/>
  <c r="F22" s="1"/>
  <c r="G22" s="1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B37"/>
  <c r="E36"/>
  <c r="F36" s="1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I37" i="5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D30"/>
  <c r="E57" i="7"/>
  <c r="F57" s="1"/>
  <c r="G57" s="1"/>
  <c r="H57" s="1"/>
  <c r="I57" s="1"/>
  <c r="J57" s="1"/>
  <c r="K57" s="1"/>
  <c r="L57" s="1"/>
  <c r="M57" s="1"/>
  <c r="N57" s="1"/>
  <c r="O57" s="1"/>
  <c r="P57" s="1"/>
  <c r="Q57" s="1"/>
  <c r="R57" s="1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AG57" s="1"/>
  <c r="B65"/>
  <c r="E65"/>
  <c r="I64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s="1"/>
  <c r="X64" s="1"/>
  <c r="Y64" s="1"/>
  <c r="Z64" s="1"/>
  <c r="AA64" s="1"/>
  <c r="AB64" s="1"/>
  <c r="AC64" s="1"/>
  <c r="AD64" s="1"/>
  <c r="AE64" s="1"/>
  <c r="AF64" s="1"/>
  <c r="AG64" s="1"/>
  <c r="E58"/>
  <c r="F58" s="1"/>
  <c r="G58" s="1"/>
  <c r="H58" s="1"/>
  <c r="B16"/>
  <c r="I43"/>
  <c r="J43" s="1"/>
  <c r="K43" s="1"/>
  <c r="L43" s="1"/>
  <c r="M43" s="1"/>
  <c r="N43" s="1"/>
  <c r="O43" s="1"/>
  <c r="P43" s="1"/>
  <c r="Q43" s="1"/>
  <c r="R43" s="1"/>
  <c r="S43" s="1"/>
  <c r="T43" s="1"/>
  <c r="U43" s="1"/>
  <c r="V43" s="1"/>
  <c r="W43" s="1"/>
  <c r="X43" s="1"/>
  <c r="Y43" s="1"/>
  <c r="Z43" s="1"/>
  <c r="AA43" s="1"/>
  <c r="AB43" s="1"/>
  <c r="AC43" s="1"/>
  <c r="AD43" s="1"/>
  <c r="AE43" s="1"/>
  <c r="AF43" s="1"/>
  <c r="AG43" s="1"/>
  <c r="E51"/>
  <c r="F51" s="1"/>
  <c r="G51" s="1"/>
  <c r="H51" s="1"/>
  <c r="E44"/>
  <c r="F44" s="1"/>
  <c r="G44" s="1"/>
  <c r="H44" s="1"/>
  <c r="I44" s="1"/>
  <c r="J44" s="1"/>
  <c r="K44" s="1"/>
  <c r="L44" s="1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Z44" s="1"/>
  <c r="AA44" s="1"/>
  <c r="AB44" s="1"/>
  <c r="AC44" s="1"/>
  <c r="AD44" s="1"/>
  <c r="AE44" s="1"/>
  <c r="AF44" s="1"/>
  <c r="AG44" s="1"/>
  <c r="I29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D30"/>
  <c r="B51"/>
  <c r="F65"/>
  <c r="G65" s="1"/>
  <c r="H65" s="1"/>
  <c r="I65" s="1"/>
  <c r="J65" s="1"/>
  <c r="K65" s="1"/>
  <c r="L65" s="1"/>
  <c r="M65" s="1"/>
  <c r="N65" s="1"/>
  <c r="O65" s="1"/>
  <c r="P65" s="1"/>
  <c r="Q65" s="1"/>
  <c r="R65" s="1"/>
  <c r="S65" s="1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I15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D16"/>
  <c r="B30"/>
  <c r="E30" i="5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I22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D23"/>
  <c r="E79" l="1"/>
  <c r="F79" s="1"/>
  <c r="G65"/>
  <c r="H65" s="1"/>
  <c r="I65" s="1"/>
  <c r="J65" s="1"/>
  <c r="K65" s="1"/>
  <c r="L65" s="1"/>
  <c r="M65" s="1"/>
  <c r="N65" s="1"/>
  <c r="O65" s="1"/>
  <c r="P65" s="1"/>
  <c r="Q65" s="1"/>
  <c r="R65" s="1"/>
  <c r="S65" s="1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G79"/>
  <c r="H79" s="1"/>
  <c r="I79" s="1"/>
  <c r="J79" s="1"/>
  <c r="K79" s="1"/>
  <c r="L79" s="1"/>
  <c r="M79" s="1"/>
  <c r="N79" s="1"/>
  <c r="O79" s="1"/>
  <c r="P79" s="1"/>
  <c r="Q79" s="1"/>
  <c r="R79" s="1"/>
  <c r="S79" s="1"/>
  <c r="T79" s="1"/>
  <c r="U79" s="1"/>
  <c r="V79" s="1"/>
  <c r="W79" s="1"/>
  <c r="X79" s="1"/>
  <c r="Y79" s="1"/>
  <c r="Z79" s="1"/>
  <c r="AA79" s="1"/>
  <c r="AB79" s="1"/>
  <c r="AC79" s="1"/>
  <c r="AD79" s="1"/>
  <c r="AE79" s="1"/>
  <c r="AF79" s="1"/>
  <c r="AG79" s="1"/>
  <c r="I51" i="7"/>
  <c r="J51" s="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D23"/>
  <c r="I58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8" s="1"/>
  <c r="E23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E37"/>
  <c r="F37" s="1"/>
  <c r="G37" s="1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E30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E16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E23" i="5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</calcChain>
</file>

<file path=xl/sharedStrings.xml><?xml version="1.0" encoding="utf-8"?>
<sst xmlns="http://schemas.openxmlformats.org/spreadsheetml/2006/main" count="973" uniqueCount="127">
  <si>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</si>
  <si>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</si>
  <si>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</si>
  <si>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</si>
  <si>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</si>
  <si>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</si>
  <si>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</si>
  <si>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</si>
  <si>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</si>
  <si>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</si>
  <si>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</si>
  <si>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</si>
  <si>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</si>
  <si>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</si>
  <si>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</si>
  <si>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</si>
  <si>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</si>
  <si>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</si>
  <si>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</si>
  <si>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</si>
  <si>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Año 21</t>
  </si>
  <si>
    <t>Año 22</t>
  </si>
  <si>
    <t>Año 23</t>
  </si>
  <si>
    <t>Año 24</t>
  </si>
  <si>
    <t>Año 25</t>
  </si>
  <si>
    <t>Año 26</t>
  </si>
  <si>
    <t>Año 27</t>
  </si>
  <si>
    <t>Año 28</t>
  </si>
  <si>
    <t>Base Regul.</t>
  </si>
  <si>
    <t>Pensión:</t>
  </si>
  <si>
    <t>Nº Trim.Ant</t>
  </si>
  <si>
    <t>Jubilación con:</t>
  </si>
  <si>
    <t>Año 29</t>
  </si>
  <si>
    <t>Año 30</t>
  </si>
  <si>
    <t xml:space="preserve">Pensión máx </t>
  </si>
  <si>
    <t>calculador on line</t>
  </si>
  <si>
    <t>Rellenar sólo las siguientes celdas que aparecen en amarillo</t>
  </si>
  <si>
    <t>Entre 35 y 38,5</t>
  </si>
  <si>
    <t>Entre 38,5 y 41,5</t>
  </si>
  <si>
    <t>Entre 41,5 y 44,5</t>
  </si>
  <si>
    <t xml:space="preserve">44,5 o más </t>
  </si>
  <si>
    <t>Entre 33 y 38,5</t>
  </si>
  <si>
    <t>Años Cotiz.</t>
  </si>
  <si>
    <t>Edad Jubil.</t>
  </si>
  <si>
    <t>Año Jubil.</t>
  </si>
  <si>
    <t>Edad:</t>
  </si>
  <si>
    <t>Pensión Máx</t>
  </si>
  <si>
    <t>Buscar Edad</t>
  </si>
  <si>
    <t>Buscar P.Máx</t>
  </si>
  <si>
    <t>Trim.Antic.</t>
  </si>
  <si>
    <t>Edad Antic.</t>
  </si>
  <si>
    <t>Año Lím Jub</t>
  </si>
  <si>
    <t>Dif. Pensión Máx</t>
  </si>
  <si>
    <t>Grupo 1</t>
  </si>
  <si>
    <t>Grupo 2</t>
  </si>
  <si>
    <t>Grupo 3</t>
  </si>
  <si>
    <t>Grupo 4</t>
  </si>
  <si>
    <t>Acum(Ing-Aport)</t>
  </si>
  <si>
    <t>Aport.SS/mes</t>
  </si>
  <si>
    <t>Jubilación Anticipada por Causas Ajenas No Imputables a la Voluntad del Trabajador</t>
  </si>
  <si>
    <t>actualizado a fecha 9 de marzo de 2018, debiendo dirigirse a cualquier oficina del INSS para informarse en aquellos otros casos de jubilación anticipada especial que no se han contemplado.</t>
  </si>
  <si>
    <t xml:space="preserve">Las condiciones de acceso y prestaciones de cada una de estas 2 modalidades de Jubilación Anticipada serán diferentes, como se ve en el siguiente cuadro: </t>
  </si>
  <si>
    <t>-</t>
  </si>
  <si>
    <t>Otros Requisitos</t>
  </si>
  <si>
    <t>Pensión a recibir resultante superior a la mínima legal por situación familiar a los 65.</t>
  </si>
  <si>
    <t>Provenir de ERE, con indemnización cobrada, o cierre por fuerza mayor. Jubilación, incapacidad o muerte de empresario. Resolución Judicial, o Violencia de Genero.</t>
  </si>
  <si>
    <t>Coeficiente Reductor de la Pensión Máxima por trimestre</t>
  </si>
  <si>
    <t>Condiciones:</t>
  </si>
  <si>
    <t>1ª Anticipada por Causas Ajenas</t>
  </si>
  <si>
    <t>2ª Anticipada Voluntaria</t>
  </si>
  <si>
    <t>Años Mín. Cotizaciones a SS</t>
  </si>
  <si>
    <t>Situación a la Fecha de Jubilación</t>
  </si>
  <si>
    <t>Grupo</t>
  </si>
  <si>
    <t>Coeficiente Reductor Pensión por trimestre o fracción (Voluntaria)</t>
  </si>
  <si>
    <t>Coeficiente Reductor Pensión por trimestre o fracción (Causa Ajena)</t>
  </si>
  <si>
    <t>Apuntado al paro, mín. 6 meses antes fecha jubilación</t>
  </si>
  <si>
    <t>Máx. 4 años antes edad legal*</t>
  </si>
  <si>
    <t>Máx. 2 años antes edad legal*</t>
  </si>
  <si>
    <r>
      <t xml:space="preserve">*Deberá pedir cita en el INSS para el cálculo de la Base Reguladora </t>
    </r>
    <r>
      <rPr>
        <b/>
        <sz val="9"/>
        <color rgb="FF222222"/>
        <rFont val="Calibri"/>
        <family val="2"/>
        <scheme val="minor"/>
      </rPr>
      <t>BR,</t>
    </r>
    <r>
      <rPr>
        <sz val="9"/>
        <color rgb="FF222222"/>
        <rFont val="Calibri"/>
        <family val="2"/>
        <scheme val="minor"/>
      </rPr>
      <t xml:space="preserve"> o a través del calculador on line</t>
    </r>
  </si>
  <si>
    <r>
      <rPr>
        <b/>
        <sz val="9"/>
        <color theme="1"/>
        <rFont val="Calibri"/>
        <family val="2"/>
        <scheme val="minor"/>
      </rPr>
      <t xml:space="preserve">NOTA INFORMATIVA: </t>
    </r>
    <r>
      <rPr>
        <sz val="9"/>
        <color theme="1"/>
        <rFont val="Calibri"/>
        <family val="2"/>
        <scheme val="minor"/>
      </rPr>
      <t xml:space="preserve">Este Simulador contempla únicamente aquellos casos generales de jubilación anticipada, regulados por los artículos 207 y 208 del Real Decreto Legislativo 8/2015, de 30 de octubre, </t>
    </r>
  </si>
  <si>
    <t>Fecha Jubilación:</t>
  </si>
  <si>
    <t>Base Reguladora BR*:</t>
  </si>
  <si>
    <t>Años Cotizados SS Fecha Jubil.:</t>
  </si>
  <si>
    <t>Fecha Nacimiento:</t>
  </si>
  <si>
    <t>(*)Aportaciones a SS (Propias):</t>
  </si>
  <si>
    <t>(*)Por ejemplo las Aportaciones a la SS por Convenio Especial del trabajador</t>
  </si>
  <si>
    <t>El cálculo de la BR, a partir de 2019, deberá multiplicarse por el Factor de Sostenibilidad, que será igual al del año anterior (siendo el de 2018 igual a 1) por un factor reductor de la esperanza de vida a los 67 años,</t>
  </si>
  <si>
    <t>Años Cotiz.Progresiva</t>
  </si>
  <si>
    <t>*Edad Legal de Jubilación</t>
  </si>
  <si>
    <r>
      <t>e*</t>
    </r>
    <r>
      <rPr>
        <vertAlign val="subscript"/>
        <sz val="9"/>
        <color theme="1"/>
        <rFont val="Calibri"/>
        <family val="2"/>
        <scheme val="minor"/>
      </rPr>
      <t xml:space="preserve"> 67</t>
    </r>
    <r>
      <rPr>
        <sz val="9"/>
        <color theme="1"/>
        <rFont val="Calibri"/>
        <family val="2"/>
        <scheme val="minor"/>
      </rPr>
      <t>=(e</t>
    </r>
    <r>
      <rPr>
        <vertAlign val="superscript"/>
        <sz val="9"/>
        <color theme="1"/>
        <rFont val="Calibri"/>
        <family val="2"/>
        <scheme val="minor"/>
      </rPr>
      <t>2012</t>
    </r>
    <r>
      <rPr>
        <sz val="9"/>
        <color theme="1"/>
        <rFont val="Calibri"/>
        <family val="2"/>
        <scheme val="minor"/>
      </rPr>
      <t xml:space="preserve"> </t>
    </r>
    <r>
      <rPr>
        <vertAlign val="subscript"/>
        <sz val="9"/>
        <color theme="1"/>
        <rFont val="Calibri"/>
        <family val="2"/>
        <scheme val="minor"/>
      </rPr>
      <t>67</t>
    </r>
    <r>
      <rPr>
        <sz val="9"/>
        <color theme="1"/>
        <rFont val="Calibri"/>
        <family val="2"/>
        <scheme val="minor"/>
      </rPr>
      <t>/e</t>
    </r>
    <r>
      <rPr>
        <vertAlign val="superscript"/>
        <sz val="9"/>
        <color theme="1"/>
        <rFont val="Calibri"/>
        <family val="2"/>
        <scheme val="minor"/>
      </rPr>
      <t>2012</t>
    </r>
    <r>
      <rPr>
        <sz val="9"/>
        <color theme="1"/>
        <rFont val="Calibri"/>
        <family val="2"/>
        <scheme val="minor"/>
      </rPr>
      <t xml:space="preserve"> </t>
    </r>
    <r>
      <rPr>
        <vertAlign val="subscript"/>
        <sz val="9"/>
        <color theme="1"/>
        <rFont val="Calibri"/>
        <family val="2"/>
        <scheme val="minor"/>
      </rPr>
      <t>67</t>
    </r>
    <r>
      <rPr>
        <sz val="9"/>
        <color theme="1"/>
        <rFont val="Calibri"/>
        <family val="2"/>
        <scheme val="minor"/>
      </rPr>
      <t>)</t>
    </r>
    <r>
      <rPr>
        <vertAlign val="superscript"/>
        <sz val="9"/>
        <color theme="1"/>
        <rFont val="Calibri"/>
        <family val="2"/>
        <scheme val="minor"/>
      </rPr>
      <t>1/5</t>
    </r>
  </si>
  <si>
    <r>
      <t xml:space="preserve">  e</t>
    </r>
    <r>
      <rPr>
        <vertAlign val="superscript"/>
        <sz val="9"/>
        <color theme="1"/>
        <rFont val="Calibri"/>
        <family val="2"/>
        <scheme val="minor"/>
      </rPr>
      <t>2012</t>
    </r>
    <r>
      <rPr>
        <sz val="9"/>
        <color theme="1"/>
        <rFont val="Calibri"/>
        <family val="2"/>
        <scheme val="minor"/>
      </rPr>
      <t xml:space="preserve"> </t>
    </r>
    <r>
      <rPr>
        <vertAlign val="subscript"/>
        <sz val="9"/>
        <color theme="1"/>
        <rFont val="Calibri"/>
        <family val="2"/>
        <scheme val="minor"/>
      </rPr>
      <t xml:space="preserve">67 </t>
    </r>
    <r>
      <rPr>
        <sz val="9"/>
        <color theme="1"/>
        <rFont val="Calibri"/>
        <family val="2"/>
        <scheme val="minor"/>
      </rPr>
      <t>=(años)</t>
    </r>
  </si>
  <si>
    <t>Esperanza vida con 67 años:</t>
  </si>
  <si>
    <r>
      <t xml:space="preserve">  e</t>
    </r>
    <r>
      <rPr>
        <vertAlign val="superscript"/>
        <sz val="9"/>
        <color theme="1"/>
        <rFont val="Calibri"/>
        <family val="2"/>
        <scheme val="minor"/>
      </rPr>
      <t>2017</t>
    </r>
    <r>
      <rPr>
        <sz val="9"/>
        <color theme="1"/>
        <rFont val="Calibri"/>
        <family val="2"/>
        <scheme val="minor"/>
      </rPr>
      <t xml:space="preserve"> </t>
    </r>
    <r>
      <rPr>
        <vertAlign val="subscript"/>
        <sz val="9"/>
        <color theme="1"/>
        <rFont val="Calibri"/>
        <family val="2"/>
        <scheme val="minor"/>
      </rPr>
      <t xml:space="preserve">67 </t>
    </r>
    <r>
      <rPr>
        <sz val="9"/>
        <color theme="1"/>
        <rFont val="Calibri"/>
        <family val="2"/>
        <scheme val="minor"/>
      </rPr>
      <t>=(años)</t>
    </r>
  </si>
  <si>
    <r>
      <t xml:space="preserve">  e</t>
    </r>
    <r>
      <rPr>
        <vertAlign val="superscript"/>
        <sz val="9"/>
        <color theme="1"/>
        <rFont val="Calibri"/>
        <family val="2"/>
        <scheme val="minor"/>
      </rPr>
      <t>2022</t>
    </r>
    <r>
      <rPr>
        <sz val="9"/>
        <color theme="1"/>
        <rFont val="Calibri"/>
        <family val="2"/>
        <scheme val="minor"/>
      </rPr>
      <t xml:space="preserve"> </t>
    </r>
    <r>
      <rPr>
        <vertAlign val="subscript"/>
        <sz val="9"/>
        <color theme="1"/>
        <rFont val="Calibri"/>
        <family val="2"/>
        <scheme val="minor"/>
      </rPr>
      <t xml:space="preserve">67 </t>
    </r>
    <r>
      <rPr>
        <sz val="9"/>
        <color theme="1"/>
        <rFont val="Calibri"/>
        <family val="2"/>
        <scheme val="minor"/>
      </rPr>
      <t>=(años)</t>
    </r>
  </si>
  <si>
    <r>
      <t>Factor Sostenibilidad                         F</t>
    </r>
    <r>
      <rPr>
        <b/>
        <vertAlign val="subscript"/>
        <sz val="9"/>
        <color theme="1"/>
        <rFont val="Calibri"/>
        <family val="2"/>
        <scheme val="minor"/>
      </rPr>
      <t>St</t>
    </r>
    <r>
      <rPr>
        <b/>
        <sz val="9"/>
        <color theme="1"/>
        <rFont val="Calibri"/>
        <family val="2"/>
        <scheme val="minor"/>
      </rPr>
      <t xml:space="preserve"> = F</t>
    </r>
    <r>
      <rPr>
        <b/>
        <vertAlign val="subscript"/>
        <sz val="9"/>
        <color theme="1"/>
        <rFont val="Calibri"/>
        <family val="2"/>
        <scheme val="minor"/>
      </rPr>
      <t>St-1</t>
    </r>
    <r>
      <rPr>
        <b/>
        <sz val="9"/>
        <color theme="1"/>
        <rFont val="Calibri"/>
        <family val="2"/>
        <scheme val="minor"/>
      </rPr>
      <t xml:space="preserve"> * e* </t>
    </r>
    <r>
      <rPr>
        <b/>
        <vertAlign val="subscript"/>
        <sz val="9"/>
        <color theme="1"/>
        <rFont val="Calibri"/>
        <family val="2"/>
        <scheme val="minor"/>
      </rPr>
      <t>67</t>
    </r>
  </si>
  <si>
    <t xml:space="preserve">=0,9942 </t>
  </si>
  <si>
    <r>
      <t>Factor Sostenibilidad F</t>
    </r>
    <r>
      <rPr>
        <b/>
        <vertAlign val="subscript"/>
        <sz val="9"/>
        <color theme="1"/>
        <rFont val="Calibri"/>
        <family val="2"/>
        <scheme val="minor"/>
      </rPr>
      <t>st</t>
    </r>
  </si>
  <si>
    <r>
      <t>F</t>
    </r>
    <r>
      <rPr>
        <b/>
        <vertAlign val="subscript"/>
        <sz val="9"/>
        <color theme="1"/>
        <rFont val="Calibri"/>
        <family val="2"/>
        <scheme val="minor"/>
      </rPr>
      <t>St</t>
    </r>
    <r>
      <rPr>
        <b/>
        <sz val="9"/>
        <color theme="1"/>
        <rFont val="Calibri"/>
        <family val="2"/>
        <scheme val="minor"/>
      </rPr>
      <t xml:space="preserve"> =</t>
    </r>
  </si>
  <si>
    <r>
      <t>F</t>
    </r>
    <r>
      <rPr>
        <b/>
        <vertAlign val="subscript"/>
        <sz val="9"/>
        <color theme="1"/>
        <rFont val="Calibri"/>
        <family val="2"/>
        <scheme val="minor"/>
      </rPr>
      <t>St-1</t>
    </r>
    <r>
      <rPr>
        <b/>
        <sz val="9"/>
        <color theme="1"/>
        <rFont val="Calibri"/>
        <family val="2"/>
        <scheme val="minor"/>
      </rPr>
      <t xml:space="preserve"> * e*</t>
    </r>
    <r>
      <rPr>
        <b/>
        <vertAlign val="subscript"/>
        <sz val="9"/>
        <color theme="1"/>
        <rFont val="Calibri"/>
        <family val="2"/>
        <scheme val="minor"/>
      </rPr>
      <t xml:space="preserve"> 67</t>
    </r>
  </si>
  <si>
    <t>Edad Legal de Jubilación</t>
  </si>
  <si>
    <t>Buscar Cotización</t>
  </si>
  <si>
    <t>Grupo Cotiz.</t>
  </si>
  <si>
    <t>Edad Jubil. Antic.:</t>
  </si>
  <si>
    <t>Factor de Sostenibilidad</t>
  </si>
  <si>
    <t>Buscar FS</t>
  </si>
  <si>
    <t>Según los citados artículos del RDL 8/2015, hay 2 tipos de jubilación anticipada que obedece a:</t>
  </si>
  <si>
    <t xml:space="preserve">1ª Causas Ajenas No Imputables a la Voluntad del Trabajador </t>
  </si>
  <si>
    <t>Factor Sostenib.:</t>
  </si>
  <si>
    <t>Jubilación Anticipada por Voluntad Propia del Trabajador</t>
  </si>
  <si>
    <t>Tipo de Jubilación Anticipada:</t>
  </si>
  <si>
    <r>
      <t xml:space="preserve">Esta </t>
    </r>
    <r>
      <rPr>
        <b/>
        <sz val="9"/>
        <color rgb="FF222222"/>
        <rFont val="Calibri"/>
        <family val="2"/>
        <scheme val="minor"/>
      </rPr>
      <t>BR</t>
    </r>
    <r>
      <rPr>
        <sz val="9"/>
        <color rgb="FF222222"/>
        <rFont val="Calibri"/>
        <family val="2"/>
        <scheme val="minor"/>
      </rPr>
      <t xml:space="preserve"> se va reduciendo por el Factor de Sostenibilidad, a partir del 2019. El simulador no tiene en cuenta los efectos hasta la jubilación de las Aportaciones a la SS (propias o empresariales) en el cálculo de la </t>
    </r>
    <r>
      <rPr>
        <b/>
        <sz val="9"/>
        <color rgb="FF222222"/>
        <rFont val="Calibri"/>
        <family val="2"/>
        <scheme val="minor"/>
      </rPr>
      <t xml:space="preserve">BR </t>
    </r>
  </si>
  <si>
    <t>2ª Por Voluntad Propia del Trabajador</t>
  </si>
  <si>
    <t>Simulador de Cálculo de Pensión a lo largo de 30 años de vida por Jubilación Anticipada</t>
  </si>
  <si>
    <t>las pensiones acumuladas obtenidos a lo largo de 30 años, en función de cómo varíe la pensión mensual recibida, dependiendo de a qué edad decida el trabajador acogerse a su jubilación, que por derecho le correspondería.</t>
  </si>
  <si>
    <r>
      <t>que para los años 2019 a 2023 será la del año 2012 y 2017, y de 2023 a 2027 la de los años 2017 y 2022 y cuya fórmula viene definida por F</t>
    </r>
    <r>
      <rPr>
        <vertAlign val="sub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 xml:space="preserve"> = F</t>
    </r>
    <r>
      <rPr>
        <vertAlign val="subscript"/>
        <sz val="9"/>
        <color theme="1"/>
        <rFont val="Calibri"/>
        <family val="2"/>
        <scheme val="minor"/>
      </rPr>
      <t>St-1</t>
    </r>
    <r>
      <rPr>
        <sz val="9"/>
        <color theme="1"/>
        <rFont val="Calibri"/>
        <family val="2"/>
        <scheme val="minor"/>
      </rPr>
      <t xml:space="preserve"> * e* </t>
    </r>
    <r>
      <rPr>
        <vertAlign val="subscript"/>
        <sz val="9"/>
        <color theme="1"/>
        <rFont val="Calibri"/>
        <family val="2"/>
        <scheme val="minor"/>
      </rPr>
      <t>67</t>
    </r>
  </si>
  <si>
    <t>Los datos de la esperanza de vida con 67 años de los españoles en 2012 y 2017 han sido obtenidos del PERFM2000P, manteniendo este factor constante, aunque en 2022 varíe.</t>
  </si>
  <si>
    <r>
      <t xml:space="preserve">Rellenando las celdas de color amarillo, el </t>
    </r>
    <r>
      <rPr>
        <b/>
        <sz val="9"/>
        <color rgb="FF222222"/>
        <rFont val="Calibri"/>
        <family val="2"/>
        <scheme val="minor"/>
      </rPr>
      <t>Simulador calculará</t>
    </r>
    <r>
      <rPr>
        <sz val="9"/>
        <color rgb="FF222222"/>
        <rFont val="Calibri"/>
        <family val="2"/>
        <scheme val="minor"/>
      </rPr>
      <t xml:space="preserve"> el valor que alcanzaría s</t>
    </r>
    <r>
      <rPr>
        <b/>
        <sz val="9"/>
        <color rgb="FF222222"/>
        <rFont val="Calibri"/>
        <family val="2"/>
        <scheme val="minor"/>
      </rPr>
      <t>u pensión (en celda de color malva), </t>
    </r>
    <r>
      <rPr>
        <sz val="9"/>
        <color rgb="FF222222"/>
        <rFont val="Calibri"/>
        <family val="2"/>
        <scheme val="minor"/>
      </rPr>
      <t>para cada edad a la que se jubile anticipadamente, y representará en un gráfico los importes de</t>
    </r>
  </si>
  <si>
    <t>Años Cotizados a SS                      (Causa Ajena)</t>
  </si>
  <si>
    <t>Años Cotizados a SS (Voluntaria)</t>
  </si>
  <si>
    <t>*Años Mín.Cotizados a SS para Edad Jubilación Legal a 65 años</t>
  </si>
  <si>
    <t>*Año Jubilación</t>
  </si>
  <si>
    <t>Edad Real</t>
  </si>
  <si>
    <t>&lt;--Aportaciones SS anuales</t>
  </si>
  <si>
    <t>&lt;-Pensión Max. Reducida</t>
  </si>
  <si>
    <t>Años Cotizados</t>
  </si>
  <si>
    <t>Edad Jubilación Mínima</t>
  </si>
  <si>
    <t>&lt;--Grupo: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</si>
</sst>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.000%"/>
    <numFmt numFmtId="166" formatCode="0.0000"/>
  </numFmts>
  <fonts count="1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9"/>
      <color rgb="FF222222"/>
      <name val="Calibri"/>
      <family val="2"/>
      <scheme val="minor"/>
    </font>
    <font>
      <u/>
      <sz val="9"/>
      <color theme="1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2" fontId="1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10" fontId="2" fillId="0" borderId="3" xfId="0" applyNumberFormat="1" applyFont="1" applyBorder="1" applyProtection="1">
      <protection hidden="1"/>
    </xf>
    <xf numFmtId="164" fontId="1" fillId="3" borderId="3" xfId="0" applyNumberFormat="1" applyFont="1" applyFill="1" applyBorder="1" applyProtection="1">
      <protection hidden="1"/>
    </xf>
    <xf numFmtId="0" fontId="2" fillId="0" borderId="3" xfId="0" applyFon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2" fontId="1" fillId="0" borderId="3" xfId="0" applyNumberFormat="1" applyFont="1" applyBorder="1" applyAlignment="1" applyProtection="1">
      <alignment horizontal="left"/>
      <protection hidden="1"/>
    </xf>
    <xf numFmtId="164" fontId="1" fillId="0" borderId="2" xfId="0" applyNumberFormat="1" applyFont="1" applyBorder="1" applyProtection="1">
      <protection hidden="1"/>
    </xf>
    <xf numFmtId="164" fontId="1" fillId="0" borderId="3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9" fillId="0" borderId="22" xfId="0" applyFont="1" applyBorder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9" fillId="0" borderId="23" xfId="0" applyFont="1" applyBorder="1" applyAlignment="1" applyProtection="1">
      <alignment wrapText="1"/>
      <protection hidden="1"/>
    </xf>
    <xf numFmtId="0" fontId="8" fillId="0" borderId="24" xfId="0" applyFont="1" applyBorder="1" applyAlignment="1" applyProtection="1">
      <alignment wrapText="1"/>
      <protection hidden="1"/>
    </xf>
    <xf numFmtId="0" fontId="2" fillId="0" borderId="24" xfId="0" applyFont="1" applyBorder="1" applyAlignment="1" applyProtection="1">
      <alignment wrapText="1"/>
      <protection hidden="1"/>
    </xf>
    <xf numFmtId="0" fontId="9" fillId="0" borderId="16" xfId="0" applyFont="1" applyBorder="1" applyAlignment="1" applyProtection="1">
      <alignment wrapText="1"/>
      <protection hidden="1"/>
    </xf>
    <xf numFmtId="0" fontId="9" fillId="0" borderId="25" xfId="0" applyFont="1" applyBorder="1" applyAlignment="1" applyProtection="1">
      <alignment wrapText="1"/>
      <protection hidden="1"/>
    </xf>
    <xf numFmtId="0" fontId="8" fillId="0" borderId="2" xfId="0" applyFont="1" applyBorder="1" applyAlignment="1" applyProtection="1">
      <alignment wrapText="1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9" fillId="0" borderId="14" xfId="0" applyFont="1" applyBorder="1" applyAlignment="1" applyProtection="1">
      <alignment wrapText="1"/>
      <protection hidden="1"/>
    </xf>
    <xf numFmtId="166" fontId="2" fillId="0" borderId="1" xfId="0" applyNumberFormat="1" applyFont="1" applyBorder="1" applyProtection="1">
      <protection hidden="1"/>
    </xf>
    <xf numFmtId="0" fontId="2" fillId="0" borderId="3" xfId="0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164" fontId="2" fillId="0" borderId="1" xfId="0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quotePrefix="1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Protection="1">
      <protection hidden="1"/>
    </xf>
    <xf numFmtId="2" fontId="7" fillId="0" borderId="0" xfId="0" applyNumberFormat="1" applyFont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9" fillId="0" borderId="3" xfId="0" applyFont="1" applyBorder="1" applyProtection="1"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1" xfId="0" applyFont="1" applyBorder="1" applyAlignment="1" applyProtection="1">
      <alignment horizontal="right"/>
      <protection hidden="1"/>
    </xf>
    <xf numFmtId="2" fontId="7" fillId="0" borderId="0" xfId="0" applyNumberFormat="1" applyFont="1" applyProtection="1">
      <protection hidden="1"/>
    </xf>
    <xf numFmtId="0" fontId="12" fillId="0" borderId="0" xfId="1" applyFont="1" applyAlignment="1" applyProtection="1">
      <protection hidden="1"/>
    </xf>
    <xf numFmtId="2" fontId="0" fillId="0" borderId="0" xfId="0" applyNumberFormat="1" applyAlignment="1" applyProtection="1">
      <alignment horizontal="left"/>
      <protection hidden="1"/>
    </xf>
    <xf numFmtId="0" fontId="16" fillId="0" borderId="0" xfId="1" applyFont="1" applyAlignment="1" applyProtection="1">
      <protection hidden="1"/>
    </xf>
    <xf numFmtId="0" fontId="9" fillId="0" borderId="4" xfId="0" applyFont="1" applyBorder="1" applyAlignment="1" applyProtection="1">
      <alignment wrapText="1"/>
      <protection hidden="1"/>
    </xf>
    <xf numFmtId="0" fontId="9" fillId="0" borderId="8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0" borderId="11" xfId="0" applyFont="1" applyBorder="1" applyAlignment="1" applyProtection="1">
      <alignment wrapText="1"/>
      <protection hidden="1"/>
    </xf>
    <xf numFmtId="0" fontId="8" fillId="0" borderId="9" xfId="0" applyFont="1" applyBorder="1" applyAlignment="1" applyProtection="1">
      <alignment wrapText="1"/>
      <protection hidden="1"/>
    </xf>
    <xf numFmtId="0" fontId="8" fillId="0" borderId="14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8" fillId="0" borderId="10" xfId="0" applyFont="1" applyBorder="1" applyAlignment="1" applyProtection="1">
      <alignment horizontal="center" wrapText="1"/>
      <protection hidden="1"/>
    </xf>
    <xf numFmtId="0" fontId="8" fillId="0" borderId="15" xfId="0" applyFont="1" applyBorder="1" applyAlignment="1" applyProtection="1">
      <alignment horizontal="center" wrapText="1"/>
      <protection hidden="1"/>
    </xf>
    <xf numFmtId="0" fontId="8" fillId="0" borderId="10" xfId="0" applyFont="1" applyBorder="1" applyAlignment="1" applyProtection="1">
      <alignment wrapText="1"/>
      <protection hidden="1"/>
    </xf>
    <xf numFmtId="0" fontId="8" fillId="0" borderId="15" xfId="0" applyFont="1" applyBorder="1" applyAlignment="1" applyProtection="1">
      <alignment wrapText="1"/>
      <protection hidden="1"/>
    </xf>
    <xf numFmtId="0" fontId="9" fillId="0" borderId="17" xfId="0" applyFont="1" applyBorder="1" applyAlignment="1" applyProtection="1">
      <alignment wrapText="1"/>
      <protection hidden="1"/>
    </xf>
    <xf numFmtId="10" fontId="8" fillId="0" borderId="18" xfId="0" applyNumberFormat="1" applyFont="1" applyBorder="1" applyAlignment="1" applyProtection="1">
      <alignment horizontal="center" wrapText="1"/>
      <protection hidden="1"/>
    </xf>
    <xf numFmtId="10" fontId="8" fillId="0" borderId="19" xfId="0" applyNumberFormat="1" applyFont="1" applyBorder="1" applyAlignment="1" applyProtection="1">
      <alignment horizontal="center" wrapText="1"/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horizontal="left" wrapText="1"/>
      <protection hidden="1"/>
    </xf>
    <xf numFmtId="0" fontId="9" fillId="0" borderId="7" xfId="0" applyFont="1" applyBorder="1" applyProtection="1">
      <protection hidden="1"/>
    </xf>
    <xf numFmtId="165" fontId="8" fillId="0" borderId="2" xfId="0" applyNumberFormat="1" applyFont="1" applyBorder="1" applyAlignment="1" applyProtection="1">
      <alignment horizontal="center"/>
      <protection hidden="1"/>
    </xf>
    <xf numFmtId="165" fontId="8" fillId="0" borderId="1" xfId="0" applyNumberFormat="1" applyFont="1" applyBorder="1" applyAlignment="1" applyProtection="1">
      <alignment horizontal="center"/>
      <protection hidden="1"/>
    </xf>
    <xf numFmtId="165" fontId="8" fillId="0" borderId="24" xfId="0" applyNumberFormat="1" applyFont="1" applyBorder="1" applyAlignment="1" applyProtection="1">
      <alignment horizontal="center"/>
      <protection hidden="1"/>
    </xf>
    <xf numFmtId="165" fontId="8" fillId="0" borderId="3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27" xfId="0" applyFont="1" applyBorder="1" applyAlignment="1" applyProtection="1">
      <alignment wrapText="1"/>
      <protection hidden="1"/>
    </xf>
    <xf numFmtId="0" fontId="9" fillId="0" borderId="28" xfId="0" applyFont="1" applyBorder="1" applyAlignment="1" applyProtection="1">
      <alignment wrapText="1"/>
      <protection hidden="1"/>
    </xf>
    <xf numFmtId="0" fontId="8" fillId="0" borderId="20" xfId="0" applyFont="1" applyBorder="1" applyAlignment="1" applyProtection="1">
      <alignment horizontal="center"/>
      <protection hidden="1"/>
    </xf>
    <xf numFmtId="2" fontId="8" fillId="0" borderId="21" xfId="0" applyNumberFormat="1" applyFont="1" applyBorder="1" applyAlignment="1" applyProtection="1">
      <alignment horizontal="center"/>
      <protection hidden="1"/>
    </xf>
    <xf numFmtId="2" fontId="8" fillId="0" borderId="29" xfId="0" applyNumberFormat="1" applyFont="1" applyBorder="1" applyAlignment="1" applyProtection="1">
      <alignment horizontal="center"/>
      <protection hidden="1"/>
    </xf>
    <xf numFmtId="166" fontId="8" fillId="0" borderId="32" xfId="0" applyNumberFormat="1" applyFont="1" applyFill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2" fontId="8" fillId="0" borderId="30" xfId="0" applyNumberFormat="1" applyFont="1" applyBorder="1" applyAlignment="1" applyProtection="1">
      <alignment horizontal="center"/>
      <protection hidden="1"/>
    </xf>
    <xf numFmtId="166" fontId="8" fillId="0" borderId="1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0" borderId="23" xfId="0" applyFont="1" applyBorder="1" applyAlignment="1" applyProtection="1">
      <alignment horizontal="center"/>
      <protection hidden="1"/>
    </xf>
    <xf numFmtId="2" fontId="8" fillId="0" borderId="24" xfId="0" applyNumberFormat="1" applyFont="1" applyBorder="1" applyAlignment="1" applyProtection="1">
      <alignment horizontal="center"/>
      <protection hidden="1"/>
    </xf>
    <xf numFmtId="2" fontId="8" fillId="0" borderId="31" xfId="0" applyNumberFormat="1" applyFont="1" applyBorder="1" applyAlignment="1" applyProtection="1">
      <alignment horizontal="center"/>
      <protection hidden="1"/>
    </xf>
    <xf numFmtId="166" fontId="8" fillId="0" borderId="13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14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164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quotePrefix="1" applyFont="1" applyFill="1" applyBorder="1" applyAlignment="1" applyProtection="1">
      <alignment horizontal="left"/>
      <protection locked="0"/>
    </xf>
    <xf numFmtId="2" fontId="8" fillId="2" borderId="1" xfId="0" quotePrefix="1" applyNumberFormat="1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9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2" fontId="8" fillId="0" borderId="0" xfId="0" quotePrefix="1" applyNumberFormat="1" applyFont="1" applyFill="1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Años</a:t>
            </a:r>
          </a:p>
        </c:rich>
      </c:tx>
      <c:layout>
        <c:manualLayout>
          <c:xMode val="edge"/>
          <c:yMode val="edge"/>
          <c:x val="0.91883154234911668"/>
          <c:y val="0.94104308390022651"/>
        </c:manualLayout>
      </c:layout>
    </c:title>
    <c:plotArea>
      <c:layout>
        <c:manualLayout>
          <c:layoutTarget val="inner"/>
          <c:xMode val="edge"/>
          <c:yMode val="edge"/>
          <c:x val="0.14594503615914345"/>
          <c:y val="8.4336779331155035E-2"/>
          <c:w val="0.75888998578698552"/>
          <c:h val="0.8420104629778421"/>
        </c:manualLayout>
      </c:layout>
      <c:lineChart>
        <c:grouping val="standard"/>
        <c:ser>
          <c:idx val="0"/>
          <c:order val="0"/>
          <c:tx>
            <c:strRef>
              <c:f>Antic.C.Ajena!$B$4</c:f>
              <c:strCache>
                <c:ptCount val="1"/>
                <c:pt idx="0">
                  <c:v>63,25</c:v>
                </c:pt>
              </c:strCache>
            </c:strRef>
          </c:tx>
          <c:marker>
            <c:symbol val="none"/>
          </c:marker>
          <c:val>
            <c:numRef>
              <c:f>Antic.C.Ajena!$D$9:$AG$9</c:f>
              <c:numCache>
                <c:formatCode>#,##0.00\ "€"</c:formatCode>
                <c:ptCount val="30"/>
                <c:pt idx="0">
                  <c:v>32585</c:v>
                </c:pt>
                <c:pt idx="1">
                  <c:v>65251.462499999994</c:v>
                </c:pt>
                <c:pt idx="2">
                  <c:v>97999.591156249982</c:v>
                </c:pt>
                <c:pt idx="3">
                  <c:v>130829.5901341406</c:v>
                </c:pt>
                <c:pt idx="4">
                  <c:v>163741.66410947594</c:v>
                </c:pt>
                <c:pt idx="5">
                  <c:v>196736.01826974962</c:v>
                </c:pt>
                <c:pt idx="6">
                  <c:v>229812.85831542398</c:v>
                </c:pt>
                <c:pt idx="7">
                  <c:v>262972.39046121249</c:v>
                </c:pt>
                <c:pt idx="8">
                  <c:v>296214.82143736549</c:v>
                </c:pt>
                <c:pt idx="9">
                  <c:v>329540.35849095887</c:v>
                </c:pt>
                <c:pt idx="10">
                  <c:v>362949.20938718622</c:v>
                </c:pt>
                <c:pt idx="11">
                  <c:v>396441.58241065417</c:v>
                </c:pt>
                <c:pt idx="12">
                  <c:v>430017.68636668078</c:v>
                </c:pt>
                <c:pt idx="13">
                  <c:v>463677.73058259743</c:v>
                </c:pt>
                <c:pt idx="14">
                  <c:v>497421.92490905389</c:v>
                </c:pt>
                <c:pt idx="15">
                  <c:v>531250.4797213265</c:v>
                </c:pt>
                <c:pt idx="16">
                  <c:v>565163.60592062981</c:v>
                </c:pt>
                <c:pt idx="17">
                  <c:v>599161.5149354313</c:v>
                </c:pt>
                <c:pt idx="18">
                  <c:v>633244.41872276983</c:v>
                </c:pt>
                <c:pt idx="19">
                  <c:v>667412.52976957674</c:v>
                </c:pt>
                <c:pt idx="20">
                  <c:v>701666.06109400059</c:v>
                </c:pt>
                <c:pt idx="21">
                  <c:v>736005.22624673555</c:v>
                </c:pt>
                <c:pt idx="22">
                  <c:v>770430.23931235238</c:v>
                </c:pt>
                <c:pt idx="23">
                  <c:v>804941.31491063326</c:v>
                </c:pt>
                <c:pt idx="24">
                  <c:v>839538.66819790984</c:v>
                </c:pt>
                <c:pt idx="25">
                  <c:v>874222.5148684046</c:v>
                </c:pt>
                <c:pt idx="26">
                  <c:v>908993.07115557557</c:v>
                </c:pt>
                <c:pt idx="27">
                  <c:v>943850.55383346451</c:v>
                </c:pt>
                <c:pt idx="28">
                  <c:v>978795.18021804816</c:v>
                </c:pt>
                <c:pt idx="29">
                  <c:v>1013827.1681685932</c:v>
                </c:pt>
              </c:numCache>
            </c:numRef>
          </c:val>
        </c:ser>
        <c:ser>
          <c:idx val="1"/>
          <c:order val="1"/>
          <c:tx>
            <c:strRef>
              <c:f>Antic.C.Ajena!$B$11</c:f>
              <c:strCache>
                <c:ptCount val="1"/>
                <c:pt idx="0">
                  <c:v>63,50</c:v>
                </c:pt>
              </c:strCache>
            </c:strRef>
          </c:tx>
          <c:marker>
            <c:symbol val="none"/>
          </c:marker>
          <c:val>
            <c:numRef>
              <c:f>Antic.C.Ajena!$D$16:$AG$16</c:f>
              <c:numCache>
                <c:formatCode>#,##0.00\ "€"</c:formatCode>
                <c:ptCount val="30"/>
                <c:pt idx="0">
                  <c:v>23340</c:v>
                </c:pt>
                <c:pt idx="1">
                  <c:v>56743.299999999996</c:v>
                </c:pt>
                <c:pt idx="2">
                  <c:v>90230.10824999999</c:v>
                </c:pt>
                <c:pt idx="3">
                  <c:v>123800.63352062498</c:v>
                </c:pt>
                <c:pt idx="4">
                  <c:v>157455.08510442654</c:v>
                </c:pt>
                <c:pt idx="5">
                  <c:v>191193.67281718762</c:v>
                </c:pt>
                <c:pt idx="6">
                  <c:v>225016.60699923057</c:v>
                </c:pt>
                <c:pt idx="7">
                  <c:v>258924.09851672864</c:v>
                </c:pt>
                <c:pt idx="8">
                  <c:v>292916.35876302049</c:v>
                </c:pt>
                <c:pt idx="9">
                  <c:v>326993.599659928</c:v>
                </c:pt>
                <c:pt idx="10">
                  <c:v>361156.03365907783</c:v>
                </c:pt>
                <c:pt idx="11">
                  <c:v>395403.87374322553</c:v>
                </c:pt>
                <c:pt idx="12">
                  <c:v>429737.33342758357</c:v>
                </c:pt>
                <c:pt idx="13">
                  <c:v>464156.62676115253</c:v>
                </c:pt>
                <c:pt idx="14">
                  <c:v>498661.9683280554</c:v>
                </c:pt>
                <c:pt idx="15">
                  <c:v>533253.57324887556</c:v>
                </c:pt>
                <c:pt idx="16">
                  <c:v>567931.65718199778</c:v>
                </c:pt>
                <c:pt idx="17">
                  <c:v>602696.43632495275</c:v>
                </c:pt>
                <c:pt idx="18">
                  <c:v>637548.12741576508</c:v>
                </c:pt>
                <c:pt idx="19">
                  <c:v>672486.94773430447</c:v>
                </c:pt>
                <c:pt idx="20">
                  <c:v>707513.11510364024</c:v>
                </c:pt>
                <c:pt idx="21">
                  <c:v>742626.84789139929</c:v>
                </c:pt>
                <c:pt idx="22">
                  <c:v>777828.36501112778</c:v>
                </c:pt>
                <c:pt idx="23">
                  <c:v>813117.88592365559</c:v>
                </c:pt>
                <c:pt idx="24">
                  <c:v>848495.6306384647</c:v>
                </c:pt>
                <c:pt idx="25">
                  <c:v>883961.81971506076</c:v>
                </c:pt>
                <c:pt idx="26">
                  <c:v>919516.67426434834</c:v>
                </c:pt>
                <c:pt idx="27">
                  <c:v>955160.41595000913</c:v>
                </c:pt>
                <c:pt idx="28">
                  <c:v>990893.26698988408</c:v>
                </c:pt>
                <c:pt idx="29">
                  <c:v>1026715.4501573588</c:v>
                </c:pt>
              </c:numCache>
            </c:numRef>
          </c:val>
        </c:ser>
        <c:ser>
          <c:idx val="2"/>
          <c:order val="2"/>
          <c:tx>
            <c:strRef>
              <c:f>Antic.C.Ajena!$B$18</c:f>
              <c:strCache>
                <c:ptCount val="1"/>
                <c:pt idx="0">
                  <c:v>63,75</c:v>
                </c:pt>
              </c:strCache>
            </c:strRef>
          </c:tx>
          <c:marker>
            <c:symbol val="none"/>
          </c:marker>
          <c:val>
            <c:numRef>
              <c:f>Antic.C.Ajena!$D$23:$AG$23</c:f>
              <c:numCache>
                <c:formatCode>#,##0.00\ "€"</c:formatCode>
                <c:ptCount val="30"/>
                <c:pt idx="0">
                  <c:v>13727.5</c:v>
                </c:pt>
                <c:pt idx="1">
                  <c:v>47867.637499999997</c:v>
                </c:pt>
                <c:pt idx="2">
                  <c:v>82093.125343749998</c:v>
                </c:pt>
                <c:pt idx="3">
                  <c:v>116404.17690710936</c:v>
                </c:pt>
                <c:pt idx="4">
                  <c:v>150801.00609937712</c:v>
                </c:pt>
                <c:pt idx="5">
                  <c:v>185283.82736462555</c:v>
                </c:pt>
                <c:pt idx="6">
                  <c:v>219852.85568303711</c:v>
                </c:pt>
                <c:pt idx="7">
                  <c:v>254508.30657224468</c:v>
                </c:pt>
                <c:pt idx="8">
                  <c:v>289250.39608867525</c:v>
                </c:pt>
                <c:pt idx="9">
                  <c:v>324079.34082889691</c:v>
                </c:pt>
                <c:pt idx="10">
                  <c:v>358995.35793096916</c:v>
                </c:pt>
                <c:pt idx="11">
                  <c:v>393998.66507579654</c:v>
                </c:pt>
                <c:pt idx="12">
                  <c:v>429089.48048848601</c:v>
                </c:pt>
                <c:pt idx="13">
                  <c:v>464268.02293970721</c:v>
                </c:pt>
                <c:pt idx="14">
                  <c:v>499534.51174705644</c:v>
                </c:pt>
                <c:pt idx="15">
                  <c:v>534889.16677642404</c:v>
                </c:pt>
                <c:pt idx="16">
                  <c:v>570332.20844336506</c:v>
                </c:pt>
                <c:pt idx="17">
                  <c:v>605863.8577144735</c:v>
                </c:pt>
                <c:pt idx="18">
                  <c:v>641484.33610875963</c:v>
                </c:pt>
                <c:pt idx="19">
                  <c:v>677193.86569903151</c:v>
                </c:pt>
                <c:pt idx="20">
                  <c:v>712992.66911327909</c:v>
                </c:pt>
                <c:pt idx="21">
                  <c:v>748880.96953606221</c:v>
                </c:pt>
                <c:pt idx="22">
                  <c:v>784858.99070990237</c:v>
                </c:pt>
                <c:pt idx="23">
                  <c:v>820926.9569366771</c:v>
                </c:pt>
                <c:pt idx="24">
                  <c:v>857085.09307901876</c:v>
                </c:pt>
                <c:pt idx="25">
                  <c:v>893333.62456171622</c:v>
                </c:pt>
                <c:pt idx="26">
                  <c:v>929672.77737312042</c:v>
                </c:pt>
                <c:pt idx="27">
                  <c:v>966102.77806655318</c:v>
                </c:pt>
                <c:pt idx="28">
                  <c:v>1002623.8537617195</c:v>
                </c:pt>
                <c:pt idx="29">
                  <c:v>1039236.2321461238</c:v>
                </c:pt>
              </c:numCache>
            </c:numRef>
          </c:val>
        </c:ser>
        <c:ser>
          <c:idx val="3"/>
          <c:order val="3"/>
          <c:tx>
            <c:strRef>
              <c:f>Antic.C.Ajena!$B$25</c:f>
              <c:strCache>
                <c:ptCount val="1"/>
                <c:pt idx="0">
                  <c:v>64,00</c:v>
                </c:pt>
              </c:strCache>
            </c:strRef>
          </c:tx>
          <c:marker>
            <c:symbol val="none"/>
          </c:marker>
          <c:val>
            <c:numRef>
              <c:f>Antic.C.Ajena!$D$30:$AG$30</c:f>
              <c:numCache>
                <c:formatCode>#,##0.00\ "€"</c:formatCode>
                <c:ptCount val="30"/>
                <c:pt idx="0">
                  <c:v>3647.3814962668857</c:v>
                </c:pt>
                <c:pt idx="1">
                  <c:v>38122.881296297091</c:v>
                </c:pt>
                <c:pt idx="2">
                  <c:v>72684.569845827369</c:v>
                </c:pt>
                <c:pt idx="3">
                  <c:v>107332.66261673147</c:v>
                </c:pt>
                <c:pt idx="4">
                  <c:v>142067.37561956281</c:v>
                </c:pt>
                <c:pt idx="5">
                  <c:v>176888.92540490124</c:v>
                </c:pt>
                <c:pt idx="6">
                  <c:v>211797.52906470301</c:v>
                </c:pt>
                <c:pt idx="7">
                  <c:v>246793.40423365429</c:v>
                </c:pt>
                <c:pt idx="8">
                  <c:v>281876.76909052796</c:v>
                </c:pt>
                <c:pt idx="9">
                  <c:v>317047.84235954378</c:v>
                </c:pt>
                <c:pt idx="10">
                  <c:v>352306.84331173217</c:v>
                </c:pt>
                <c:pt idx="11">
                  <c:v>387653.99176630098</c:v>
                </c:pt>
                <c:pt idx="12">
                  <c:v>423089.50809200626</c:v>
                </c:pt>
                <c:pt idx="13">
                  <c:v>458613.61320852576</c:v>
                </c:pt>
                <c:pt idx="14">
                  <c:v>494226.52858783654</c:v>
                </c:pt>
                <c:pt idx="15">
                  <c:v>529928.47625559568</c:v>
                </c:pt>
                <c:pt idx="16">
                  <c:v>565719.67879252415</c:v>
                </c:pt>
                <c:pt idx="17">
                  <c:v>601600.35933579493</c:v>
                </c:pt>
                <c:pt idx="18">
                  <c:v>637570.7415804239</c:v>
                </c:pt>
                <c:pt idx="19">
                  <c:v>673631.0497806645</c:v>
                </c:pt>
                <c:pt idx="20">
                  <c:v>709781.50875140564</c:v>
                </c:pt>
                <c:pt idx="21">
                  <c:v>746022.34386957367</c:v>
                </c:pt>
                <c:pt idx="22">
                  <c:v>782353.78107553709</c:v>
                </c:pt>
                <c:pt idx="23">
                  <c:v>818776.04687451536</c:v>
                </c:pt>
                <c:pt idx="24">
                  <c:v>855289.36833799118</c:v>
                </c:pt>
                <c:pt idx="25">
                  <c:v>891893.97310512559</c:v>
                </c:pt>
                <c:pt idx="26">
                  <c:v>928590.08938417793</c:v>
                </c:pt>
                <c:pt idx="27">
                  <c:v>965377.94595392782</c:v>
                </c:pt>
                <c:pt idx="28">
                  <c:v>1002257.7721651021</c:v>
                </c:pt>
                <c:pt idx="29">
                  <c:v>1039229.7979418043</c:v>
                </c:pt>
              </c:numCache>
            </c:numRef>
          </c:val>
        </c:ser>
        <c:ser>
          <c:idx val="4"/>
          <c:order val="4"/>
          <c:tx>
            <c:strRef>
              <c:f>Antic.C.Ajena!$B$32</c:f>
              <c:strCache>
                <c:ptCount val="1"/>
                <c:pt idx="0">
                  <c:v>64,25</c:v>
                </c:pt>
              </c:strCache>
            </c:strRef>
          </c:tx>
          <c:marker>
            <c:symbol val="none"/>
          </c:marker>
          <c:val>
            <c:numRef>
              <c:f>Antic.C.Ajena!$D$37:$AG$37</c:f>
              <c:numCache>
                <c:formatCode>#,##0.00\ "€"</c:formatCode>
                <c:ptCount val="30"/>
                <c:pt idx="0">
                  <c:v>-6600</c:v>
                </c:pt>
                <c:pt idx="1">
                  <c:v>28603.855429608309</c:v>
                </c:pt>
                <c:pt idx="2">
                  <c:v>63895.720497790637</c:v>
                </c:pt>
                <c:pt idx="3">
                  <c:v>99275.81522864342</c:v>
                </c:pt>
                <c:pt idx="4">
                  <c:v>134744.36019632334</c:v>
                </c:pt>
                <c:pt idx="5">
                  <c:v>170301.57652642246</c:v>
                </c:pt>
                <c:pt idx="6">
                  <c:v>205947.68589734682</c:v>
                </c:pt>
                <c:pt idx="7">
                  <c:v>241682.91054169848</c:v>
                </c:pt>
                <c:pt idx="8">
                  <c:v>277507.47324766102</c:v>
                </c:pt>
                <c:pt idx="9">
                  <c:v>313421.59736038849</c:v>
                </c:pt>
                <c:pt idx="10">
                  <c:v>349425.50678339775</c:v>
                </c:pt>
                <c:pt idx="11">
                  <c:v>385519.42597996455</c:v>
                </c:pt>
                <c:pt idx="12">
                  <c:v>421703.57997452276</c:v>
                </c:pt>
                <c:pt idx="13">
                  <c:v>457978.19435406732</c:v>
                </c:pt>
                <c:pt idx="14">
                  <c:v>494343.49526956078</c:v>
                </c:pt>
                <c:pt idx="15">
                  <c:v>530799.70943734294</c:v>
                </c:pt>
                <c:pt idx="16">
                  <c:v>567347.06414054462</c:v>
                </c:pt>
                <c:pt idx="17">
                  <c:v>603985.78723050421</c:v>
                </c:pt>
                <c:pt idx="18">
                  <c:v>640716.10712818871</c:v>
                </c:pt>
                <c:pt idx="19">
                  <c:v>677538.25282561744</c:v>
                </c:pt>
                <c:pt idx="20">
                  <c:v>714452.45388728974</c:v>
                </c:pt>
                <c:pt idx="21">
                  <c:v>751458.94045161619</c:v>
                </c:pt>
                <c:pt idx="22">
                  <c:v>788557.94323235354</c:v>
                </c:pt>
                <c:pt idx="23">
                  <c:v>825749.6935200427</c:v>
                </c:pt>
                <c:pt idx="24">
                  <c:v>863034.42318345106</c:v>
                </c:pt>
                <c:pt idx="25">
                  <c:v>900412.36467101797</c:v>
                </c:pt>
                <c:pt idx="26">
                  <c:v>937883.75101230375</c:v>
                </c:pt>
                <c:pt idx="27">
                  <c:v>975448.81581944274</c:v>
                </c:pt>
                <c:pt idx="28">
                  <c:v>1013107.7932885996</c:v>
                </c:pt>
                <c:pt idx="29">
                  <c:v>1050860.9182014293</c:v>
                </c:pt>
              </c:numCache>
            </c:numRef>
          </c:val>
        </c:ser>
        <c:ser>
          <c:idx val="5"/>
          <c:order val="5"/>
          <c:tx>
            <c:strRef>
              <c:f>Antic.C.Ajena!$B$39</c:f>
              <c:strCache>
                <c:ptCount val="1"/>
                <c:pt idx="0">
                  <c:v>64,50</c:v>
                </c:pt>
              </c:strCache>
            </c:strRef>
          </c:tx>
          <c:marker>
            <c:symbol val="none"/>
          </c:marker>
          <c:val>
            <c:numRef>
              <c:f>Antic.C.Ajena!$D$44:$AG$44</c:f>
              <c:numCache>
                <c:formatCode>#,##0.00\ "€"</c:formatCode>
                <c:ptCount val="30"/>
                <c:pt idx="0">
                  <c:v>-6600</c:v>
                </c:pt>
                <c:pt idx="1">
                  <c:v>18428.370274546447</c:v>
                </c:pt>
                <c:pt idx="2">
                  <c:v>54093.972291523532</c:v>
                </c:pt>
                <c:pt idx="3">
                  <c:v>89848.738313543057</c:v>
                </c:pt>
                <c:pt idx="4">
                  <c:v>125692.89125061763</c:v>
                </c:pt>
                <c:pt idx="5">
                  <c:v>161626.65457003488</c:v>
                </c:pt>
                <c:pt idx="6">
                  <c:v>197650.25229775067</c:v>
                </c:pt>
                <c:pt idx="7">
                  <c:v>233763.90901978576</c:v>
                </c:pt>
                <c:pt idx="8">
                  <c:v>269967.84988362592</c:v>
                </c:pt>
                <c:pt idx="9">
                  <c:v>306262.30059962568</c:v>
                </c:pt>
                <c:pt idx="10">
                  <c:v>342647.48744241544</c:v>
                </c:pt>
                <c:pt idx="11">
                  <c:v>379123.63725231215</c:v>
                </c:pt>
                <c:pt idx="12">
                  <c:v>415690.97743673366</c:v>
                </c:pt>
                <c:pt idx="13">
                  <c:v>452349.73597161617</c:v>
                </c:pt>
                <c:pt idx="14">
                  <c:v>489100.1414028359</c:v>
                </c:pt>
                <c:pt idx="15">
                  <c:v>525942.42284763372</c:v>
                </c:pt>
                <c:pt idx="16">
                  <c:v>562876.80999604345</c:v>
                </c:pt>
                <c:pt idx="17">
                  <c:v>599903.53311232419</c:v>
                </c:pt>
                <c:pt idx="18">
                  <c:v>637022.82303639571</c:v>
                </c:pt>
                <c:pt idx="19">
                  <c:v>674234.91118527739</c:v>
                </c:pt>
                <c:pt idx="20">
                  <c:v>711540.02955453121</c:v>
                </c:pt>
                <c:pt idx="21">
                  <c:v>748938.41071970819</c:v>
                </c:pt>
                <c:pt idx="22">
                  <c:v>786430.28783779813</c:v>
                </c:pt>
                <c:pt idx="23">
                  <c:v>824015.89464868326</c:v>
                </c:pt>
                <c:pt idx="24">
                  <c:v>861695.46547659568</c:v>
                </c:pt>
                <c:pt idx="25">
                  <c:v>899469.23523157788</c:v>
                </c:pt>
                <c:pt idx="26">
                  <c:v>937337.4394109475</c:v>
                </c:pt>
                <c:pt idx="27">
                  <c:v>975300.31410076551</c:v>
                </c:pt>
                <c:pt idx="28">
                  <c:v>1013358.0959773081</c:v>
                </c:pt>
                <c:pt idx="29">
                  <c:v>1051511.0223085419</c:v>
                </c:pt>
              </c:numCache>
            </c:numRef>
          </c:val>
        </c:ser>
        <c:ser>
          <c:idx val="6"/>
          <c:order val="6"/>
          <c:tx>
            <c:strRef>
              <c:f>Antic.C.Ajena!$B$46</c:f>
              <c:strCache>
                <c:ptCount val="1"/>
                <c:pt idx="0">
                  <c:v>64,75</c:v>
                </c:pt>
              </c:strCache>
            </c:strRef>
          </c:tx>
          <c:marker>
            <c:symbol val="none"/>
          </c:marker>
          <c:val>
            <c:numRef>
              <c:f>Antic.C.Ajena!$D$51:$AG$51</c:f>
              <c:numCache>
                <c:formatCode>#,##0.00\ "€"</c:formatCode>
                <c:ptCount val="30"/>
                <c:pt idx="0">
                  <c:v>-6600</c:v>
                </c:pt>
                <c:pt idx="1">
                  <c:v>7970.8369696790796</c:v>
                </c:pt>
                <c:pt idx="2">
                  <c:v>43818.406343885639</c:v>
                </c:pt>
                <c:pt idx="3">
                  <c:v>79755.594641527714</c:v>
                </c:pt>
                <c:pt idx="4">
                  <c:v>115782.62590991388</c:v>
                </c:pt>
                <c:pt idx="5">
                  <c:v>151899.72475647103</c:v>
                </c:pt>
                <c:pt idx="6">
                  <c:v>188107.11635014456</c:v>
                </c:pt>
                <c:pt idx="7">
                  <c:v>224405.02642280227</c:v>
                </c:pt>
                <c:pt idx="8">
                  <c:v>260793.68127064162</c:v>
                </c:pt>
                <c:pt idx="9">
                  <c:v>297273.30775560054</c:v>
                </c:pt>
                <c:pt idx="10">
                  <c:v>333844.13330677187</c:v>
                </c:pt>
                <c:pt idx="11">
                  <c:v>370506.38592182111</c:v>
                </c:pt>
                <c:pt idx="12">
                  <c:v>407260.29416840803</c:v>
                </c:pt>
                <c:pt idx="13">
                  <c:v>444106.08718561137</c:v>
                </c:pt>
                <c:pt idx="14">
                  <c:v>481043.99468535773</c:v>
                </c:pt>
                <c:pt idx="15">
                  <c:v>518074.24695385346</c:v>
                </c:pt>
                <c:pt idx="16">
                  <c:v>555197.07485302049</c:v>
                </c:pt>
                <c:pt idx="17">
                  <c:v>592412.70982193539</c:v>
                </c:pt>
                <c:pt idx="18">
                  <c:v>629721.38387827261</c:v>
                </c:pt>
                <c:pt idx="19">
                  <c:v>667123.32961975061</c:v>
                </c:pt>
                <c:pt idx="20">
                  <c:v>704618.7802255823</c:v>
                </c:pt>
                <c:pt idx="21">
                  <c:v>742207.96945792856</c:v>
                </c:pt>
                <c:pt idx="22">
                  <c:v>779891.13166335574</c:v>
                </c:pt>
                <c:pt idx="23">
                  <c:v>817668.5017742964</c:v>
                </c:pt>
                <c:pt idx="24">
                  <c:v>855540.31531051442</c:v>
                </c:pt>
                <c:pt idx="25">
                  <c:v>893506.80838057306</c:v>
                </c:pt>
                <c:pt idx="26">
                  <c:v>931568.21768330678</c:v>
                </c:pt>
                <c:pt idx="27">
                  <c:v>969724.78050929739</c:v>
                </c:pt>
                <c:pt idx="28">
                  <c:v>1007976.734742353</c:v>
                </c:pt>
                <c:pt idx="29">
                  <c:v>1046324.3188609912</c:v>
                </c:pt>
              </c:numCache>
            </c:numRef>
          </c:val>
        </c:ser>
        <c:ser>
          <c:idx val="10"/>
          <c:order val="7"/>
          <c:tx>
            <c:strRef>
              <c:f>Antic.C.Ajena!$B$53</c:f>
              <c:strCache>
                <c:ptCount val="1"/>
                <c:pt idx="0">
                  <c:v>65,00</c:v>
                </c:pt>
              </c:strCache>
            </c:strRef>
          </c:tx>
          <c:marker>
            <c:symbol val="none"/>
          </c:marker>
          <c:val>
            <c:numRef>
              <c:f>Antic.C.Ajena!$D$58:$AG$58</c:f>
              <c:numCache>
                <c:formatCode>#,##0.00\ "€"</c:formatCode>
                <c:ptCount val="30"/>
                <c:pt idx="0">
                  <c:v>-6600</c:v>
                </c:pt>
                <c:pt idx="1">
                  <c:v>-2600.482656448361</c:v>
                </c:pt>
                <c:pt idx="2">
                  <c:v>33336.705641193708</c:v>
                </c:pt>
                <c:pt idx="3">
                  <c:v>69363.736909579879</c:v>
                </c:pt>
                <c:pt idx="4">
                  <c:v>105480.83575613701</c:v>
                </c:pt>
                <c:pt idx="5">
                  <c:v>141688.22734981054</c:v>
                </c:pt>
                <c:pt idx="6">
                  <c:v>177986.13742246825</c:v>
                </c:pt>
                <c:pt idx="7">
                  <c:v>214374.7922703076</c:v>
                </c:pt>
                <c:pt idx="8">
                  <c:v>250854.41875526655</c:v>
                </c:pt>
                <c:pt idx="9">
                  <c:v>287425.2443064379</c:v>
                </c:pt>
                <c:pt idx="10">
                  <c:v>324087.49692148715</c:v>
                </c:pt>
                <c:pt idx="11">
                  <c:v>360841.40516807407</c:v>
                </c:pt>
                <c:pt idx="12">
                  <c:v>397687.1981852774</c:v>
                </c:pt>
                <c:pt idx="13">
                  <c:v>434625.10568502377</c:v>
                </c:pt>
                <c:pt idx="14">
                  <c:v>471655.3579535195</c:v>
                </c:pt>
                <c:pt idx="15">
                  <c:v>508778.18585268647</c:v>
                </c:pt>
                <c:pt idx="16">
                  <c:v>545993.82082160132</c:v>
                </c:pt>
                <c:pt idx="17">
                  <c:v>583302.49487793853</c:v>
                </c:pt>
                <c:pt idx="18">
                  <c:v>620704.44061941653</c:v>
                </c:pt>
                <c:pt idx="19">
                  <c:v>658199.89122524823</c:v>
                </c:pt>
                <c:pt idx="20">
                  <c:v>695789.08045759448</c:v>
                </c:pt>
                <c:pt idx="21">
                  <c:v>733472.24266302167</c:v>
                </c:pt>
                <c:pt idx="22">
                  <c:v>771249.61277396232</c:v>
                </c:pt>
                <c:pt idx="23">
                  <c:v>809121.42631018034</c:v>
                </c:pt>
                <c:pt idx="24">
                  <c:v>847087.91938023898</c:v>
                </c:pt>
                <c:pt idx="25">
                  <c:v>885149.3286829727</c:v>
                </c:pt>
                <c:pt idx="26">
                  <c:v>923305.89150896331</c:v>
                </c:pt>
                <c:pt idx="27">
                  <c:v>961557.84574201889</c:v>
                </c:pt>
                <c:pt idx="28">
                  <c:v>999905.42986065708</c:v>
                </c:pt>
                <c:pt idx="29">
                  <c:v>1038348.8829395919</c:v>
                </c:pt>
              </c:numCache>
            </c:numRef>
          </c:val>
        </c:ser>
        <c:ser>
          <c:idx val="7"/>
          <c:order val="8"/>
          <c:tx>
            <c:strRef>
              <c:f>Antic.C.Ajena!$B$60</c:f>
              <c:strCache>
                <c:ptCount val="1"/>
                <c:pt idx="0">
                  <c:v>65,25</c:v>
                </c:pt>
              </c:strCache>
            </c:strRef>
          </c:tx>
          <c:marker>
            <c:symbol val="none"/>
          </c:marker>
          <c:val>
            <c:numRef>
              <c:f>Antic.C.Ajena!$D$65:$AG$65</c:f>
              <c:numCache>
                <c:formatCode>#,##0.00\ "€"</c:formatCode>
                <c:ptCount val="30"/>
                <c:pt idx="0">
                  <c:v>-6600</c:v>
                </c:pt>
                <c:pt idx="1">
                  <c:v>-13216.5</c:v>
                </c:pt>
                <c:pt idx="2">
                  <c:v>22903.110573264625</c:v>
                </c:pt>
                <c:pt idx="3">
                  <c:v>59113.02017296241</c:v>
                </c:pt>
                <c:pt idx="4">
                  <c:v>95413.454546659428</c:v>
                </c:pt>
                <c:pt idx="5">
                  <c:v>131804.64000629069</c:v>
                </c:pt>
                <c:pt idx="6">
                  <c:v>168286.80342957104</c:v>
                </c:pt>
                <c:pt idx="7">
                  <c:v>204860.17226140958</c:v>
                </c:pt>
                <c:pt idx="8">
                  <c:v>241524.97451532772</c:v>
                </c:pt>
                <c:pt idx="9">
                  <c:v>278281.43877488066</c:v>
                </c:pt>
                <c:pt idx="10">
                  <c:v>315129.7941950825</c:v>
                </c:pt>
                <c:pt idx="11">
                  <c:v>352070.27050383482</c:v>
                </c:pt>
                <c:pt idx="12">
                  <c:v>389103.09800335905</c:v>
                </c:pt>
                <c:pt idx="13">
                  <c:v>426228.50757163204</c:v>
                </c:pt>
                <c:pt idx="14">
                  <c:v>463446.73066382576</c:v>
                </c:pt>
                <c:pt idx="15">
                  <c:v>500757.99931374996</c:v>
                </c:pt>
                <c:pt idx="16">
                  <c:v>538162.54613529891</c:v>
                </c:pt>
                <c:pt idx="17">
                  <c:v>575660.6043239017</c:v>
                </c:pt>
                <c:pt idx="18">
                  <c:v>613252.40765797603</c:v>
                </c:pt>
                <c:pt idx="19">
                  <c:v>650938.19050038559</c:v>
                </c:pt>
                <c:pt idx="20">
                  <c:v>688718.18779990112</c:v>
                </c:pt>
                <c:pt idx="21">
                  <c:v>726592.63509266544</c:v>
                </c:pt>
                <c:pt idx="22">
                  <c:v>764561.76850366173</c:v>
                </c:pt>
                <c:pt idx="23">
                  <c:v>802625.82474818546</c:v>
                </c:pt>
                <c:pt idx="24">
                  <c:v>840785.04113332054</c:v>
                </c:pt>
                <c:pt idx="25">
                  <c:v>879039.65555941849</c:v>
                </c:pt>
                <c:pt idx="26">
                  <c:v>917389.90652158158</c:v>
                </c:pt>
                <c:pt idx="27">
                  <c:v>955836.03311115014</c:v>
                </c:pt>
                <c:pt idx="28">
                  <c:v>994378.27501719259</c:v>
                </c:pt>
                <c:pt idx="29">
                  <c:v>1033016.8725280002</c:v>
                </c:pt>
              </c:numCache>
            </c:numRef>
          </c:val>
        </c:ser>
        <c:ser>
          <c:idx val="8"/>
          <c:order val="9"/>
          <c:tx>
            <c:strRef>
              <c:f>Antic.C.Ajena!$B$67</c:f>
              <c:strCache>
                <c:ptCount val="1"/>
                <c:pt idx="0">
                  <c:v>65,83</c:v>
                </c:pt>
              </c:strCache>
            </c:strRef>
          </c:tx>
          <c:marker>
            <c:symbol val="none"/>
          </c:marker>
          <c:val>
            <c:numRef>
              <c:f>Antic.C.Ajena!$D$72:$AG$72</c:f>
              <c:numCache>
                <c:formatCode>#,##0.00\ "€"</c:formatCode>
                <c:ptCount val="30"/>
                <c:pt idx="0">
                  <c:v>-6600</c:v>
                </c:pt>
                <c:pt idx="1">
                  <c:v>-13216.5</c:v>
                </c:pt>
                <c:pt idx="2">
                  <c:v>-1882.4805107415496</c:v>
                </c:pt>
                <c:pt idx="3">
                  <c:v>34693.18575157944</c:v>
                </c:pt>
                <c:pt idx="4">
                  <c:v>71360.291179556225</c:v>
                </c:pt>
                <c:pt idx="5">
                  <c:v>108119.06437110296</c:v>
                </c:pt>
                <c:pt idx="6">
                  <c:v>144969.73449562857</c:v>
                </c:pt>
                <c:pt idx="7">
                  <c:v>181912.53129546548</c:v>
                </c:pt>
                <c:pt idx="8">
                  <c:v>218947.68508730197</c:v>
                </c:pt>
                <c:pt idx="9">
                  <c:v>256075.42676361807</c:v>
                </c:pt>
                <c:pt idx="10">
                  <c:v>293295.98779412493</c:v>
                </c:pt>
                <c:pt idx="11">
                  <c:v>330609.60022720805</c:v>
                </c:pt>
                <c:pt idx="12">
                  <c:v>368016.49669137388</c:v>
                </c:pt>
                <c:pt idx="13">
                  <c:v>405516.91039670014</c:v>
                </c:pt>
                <c:pt idx="14">
                  <c:v>443111.0751362897</c:v>
                </c:pt>
                <c:pt idx="15">
                  <c:v>480799.22528772824</c:v>
                </c:pt>
                <c:pt idx="16">
                  <c:v>518581.59581454541</c:v>
                </c:pt>
                <c:pt idx="17">
                  <c:v>556458.42226767959</c:v>
                </c:pt>
                <c:pt idx="18">
                  <c:v>594429.94078694656</c:v>
                </c:pt>
                <c:pt idx="19">
                  <c:v>632496.38810251176</c:v>
                </c:pt>
                <c:pt idx="20">
                  <c:v>670658.00153636583</c:v>
                </c:pt>
                <c:pt idx="21">
                  <c:v>708915.01900380454</c:v>
                </c:pt>
                <c:pt idx="22">
                  <c:v>747267.67901491188</c:v>
                </c:pt>
                <c:pt idx="23">
                  <c:v>785716.22067604703</c:v>
                </c:pt>
                <c:pt idx="24">
                  <c:v>824260.88369133498</c:v>
                </c:pt>
                <c:pt idx="25">
                  <c:v>862901.90836416115</c:v>
                </c:pt>
                <c:pt idx="26">
                  <c:v>901639.53559866932</c:v>
                </c:pt>
                <c:pt idx="27">
                  <c:v>940474.00690126384</c:v>
                </c:pt>
                <c:pt idx="28">
                  <c:v>979405.5643821148</c:v>
                </c:pt>
                <c:pt idx="29">
                  <c:v>1018434.4507566679</c:v>
                </c:pt>
              </c:numCache>
            </c:numRef>
          </c:val>
        </c:ser>
        <c:ser>
          <c:idx val="9"/>
          <c:order val="10"/>
          <c:tx>
            <c:strRef>
              <c:f>Antic.C.Ajena!$B$74</c:f>
              <c:strCache>
                <c:ptCount val="1"/>
                <c:pt idx="0">
                  <c:v>65,83</c:v>
                </c:pt>
              </c:strCache>
            </c:strRef>
          </c:tx>
          <c:marker>
            <c:symbol val="none"/>
          </c:marker>
          <c:val>
            <c:numRef>
              <c:f>Antic.C.Ajena!$D$79:$AG$79</c:f>
              <c:numCache>
                <c:formatCode>#,##0.00\ "€"</c:formatCode>
                <c:ptCount val="30"/>
                <c:pt idx="0">
                  <c:v>-6600</c:v>
                </c:pt>
                <c:pt idx="1">
                  <c:v>-13216.5</c:v>
                </c:pt>
                <c:pt idx="2">
                  <c:v>-1882.4805107415496</c:v>
                </c:pt>
                <c:pt idx="3">
                  <c:v>34693.18575157944</c:v>
                </c:pt>
                <c:pt idx="4">
                  <c:v>71360.291179556225</c:v>
                </c:pt>
                <c:pt idx="5">
                  <c:v>108119.06437110296</c:v>
                </c:pt>
                <c:pt idx="6">
                  <c:v>144969.73449562857</c:v>
                </c:pt>
                <c:pt idx="7">
                  <c:v>181912.53129546548</c:v>
                </c:pt>
                <c:pt idx="8">
                  <c:v>218947.68508730197</c:v>
                </c:pt>
                <c:pt idx="9">
                  <c:v>256075.42676361807</c:v>
                </c:pt>
                <c:pt idx="10">
                  <c:v>293295.98779412493</c:v>
                </c:pt>
                <c:pt idx="11">
                  <c:v>330609.60022720805</c:v>
                </c:pt>
                <c:pt idx="12">
                  <c:v>368016.49669137388</c:v>
                </c:pt>
                <c:pt idx="13">
                  <c:v>405516.91039670014</c:v>
                </c:pt>
                <c:pt idx="14">
                  <c:v>443111.0751362897</c:v>
                </c:pt>
                <c:pt idx="15">
                  <c:v>480799.22528772824</c:v>
                </c:pt>
                <c:pt idx="16">
                  <c:v>518581.59581454541</c:v>
                </c:pt>
                <c:pt idx="17">
                  <c:v>556458.42226767959</c:v>
                </c:pt>
                <c:pt idx="18">
                  <c:v>594429.94078694656</c:v>
                </c:pt>
                <c:pt idx="19">
                  <c:v>632496.38810251176</c:v>
                </c:pt>
                <c:pt idx="20">
                  <c:v>670658.00153636583</c:v>
                </c:pt>
                <c:pt idx="21">
                  <c:v>708915.01900380454</c:v>
                </c:pt>
                <c:pt idx="22">
                  <c:v>747267.67901491188</c:v>
                </c:pt>
                <c:pt idx="23">
                  <c:v>785716.22067604703</c:v>
                </c:pt>
                <c:pt idx="24">
                  <c:v>824260.88369133498</c:v>
                </c:pt>
                <c:pt idx="25">
                  <c:v>862901.90836416115</c:v>
                </c:pt>
                <c:pt idx="26">
                  <c:v>901639.53559866932</c:v>
                </c:pt>
                <c:pt idx="27">
                  <c:v>940474.00690126384</c:v>
                </c:pt>
                <c:pt idx="28">
                  <c:v>979405.5643821148</c:v>
                </c:pt>
                <c:pt idx="29">
                  <c:v>1018434.4507566679</c:v>
                </c:pt>
              </c:numCache>
            </c:numRef>
          </c:val>
        </c:ser>
        <c:marker val="1"/>
        <c:axId val="83320192"/>
        <c:axId val="83330176"/>
      </c:lineChart>
      <c:catAx>
        <c:axId val="83320192"/>
        <c:scaling>
          <c:orientation val="minMax"/>
        </c:scaling>
        <c:axPos val="b"/>
        <c:majorTickMark val="none"/>
        <c:tickLblPos val="nextTo"/>
        <c:crossAx val="83330176"/>
        <c:crosses val="autoZero"/>
        <c:auto val="1"/>
        <c:lblAlgn val="ctr"/>
        <c:lblOffset val="100"/>
      </c:catAx>
      <c:valAx>
        <c:axId val="83330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Acumulado €</a:t>
                </a:r>
              </a:p>
            </c:rich>
          </c:tx>
          <c:layout/>
        </c:title>
        <c:numFmt formatCode="#,##0.00\ &quot;€&quot;" sourceLinked="1"/>
        <c:majorTickMark val="none"/>
        <c:tickLblPos val="nextTo"/>
        <c:crossAx val="83320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Años</a:t>
            </a:r>
          </a:p>
        </c:rich>
      </c:tx>
      <c:layout>
        <c:manualLayout>
          <c:xMode val="edge"/>
          <c:yMode val="edge"/>
          <c:x val="0.9188315423491169"/>
          <c:y val="0.94104308390022651"/>
        </c:manualLayout>
      </c:layout>
    </c:title>
    <c:plotArea>
      <c:layout>
        <c:manualLayout>
          <c:layoutTarget val="inner"/>
          <c:xMode val="edge"/>
          <c:yMode val="edge"/>
          <c:x val="0.14594503615914356"/>
          <c:y val="8.4336779331155035E-2"/>
          <c:w val="0.75888998578698552"/>
          <c:h val="0.8420104629778421"/>
        </c:manualLayout>
      </c:layout>
      <c:lineChart>
        <c:grouping val="standard"/>
        <c:ser>
          <c:idx val="0"/>
          <c:order val="0"/>
          <c:tx>
            <c:strRef>
              <c:f>Antic.Volunt.!$B$4</c:f>
              <c:strCache>
                <c:ptCount val="1"/>
                <c:pt idx="0">
                  <c:v>63,25</c:v>
                </c:pt>
              </c:strCache>
            </c:strRef>
          </c:tx>
          <c:marker>
            <c:symbol val="none"/>
          </c:marker>
          <c:val>
            <c:numRef>
              <c:f>Antic.Volunt.!$D$9:$AG$9</c:f>
              <c:numCache>
                <c:formatCode>#,##0.00\ "€"</c:formatCode>
                <c:ptCount val="30"/>
                <c:pt idx="0">
                  <c:v>32144</c:v>
                </c:pt>
                <c:pt idx="1">
                  <c:v>64368.36</c:v>
                </c:pt>
                <c:pt idx="2">
                  <c:v>96673.280899999998</c:v>
                </c:pt>
                <c:pt idx="3">
                  <c:v>129058.96410224999</c:v>
                </c:pt>
                <c:pt idx="4">
                  <c:v>161525.61151250559</c:v>
                </c:pt>
                <c:pt idx="5">
                  <c:v>194073.42554128685</c:v>
                </c:pt>
                <c:pt idx="6">
                  <c:v>226702.60910514006</c:v>
                </c:pt>
                <c:pt idx="7">
                  <c:v>259413.36562790288</c:v>
                </c:pt>
                <c:pt idx="8">
                  <c:v>292205.89904197259</c:v>
                </c:pt>
                <c:pt idx="9">
                  <c:v>325080.41378957749</c:v>
                </c:pt>
                <c:pt idx="10">
                  <c:v>358037.11482405139</c:v>
                </c:pt>
                <c:pt idx="11">
                  <c:v>391076.20761111146</c:v>
                </c:pt>
                <c:pt idx="12">
                  <c:v>424197.89813013922</c:v>
                </c:pt>
                <c:pt idx="13">
                  <c:v>457402.39287546452</c:v>
                </c:pt>
                <c:pt idx="14">
                  <c:v>490689.89885765314</c:v>
                </c:pt>
                <c:pt idx="15">
                  <c:v>524060.62360479723</c:v>
                </c:pt>
                <c:pt idx="16">
                  <c:v>557514.77516380919</c:v>
                </c:pt>
                <c:pt idx="17">
                  <c:v>591052.56210171862</c:v>
                </c:pt>
                <c:pt idx="18">
                  <c:v>624674.19350697286</c:v>
                </c:pt>
                <c:pt idx="19">
                  <c:v>658379.87899074028</c:v>
                </c:pt>
                <c:pt idx="20">
                  <c:v>692169.82868821709</c:v>
                </c:pt>
                <c:pt idx="21">
                  <c:v>726044.25325993763</c:v>
                </c:pt>
                <c:pt idx="22">
                  <c:v>760003.36389308737</c:v>
                </c:pt>
                <c:pt idx="23">
                  <c:v>794047.37230281997</c:v>
                </c:pt>
                <c:pt idx="24">
                  <c:v>828176.49073357694</c:v>
                </c:pt>
                <c:pt idx="25">
                  <c:v>862390.93196041079</c:v>
                </c:pt>
                <c:pt idx="26">
                  <c:v>896690.90929031174</c:v>
                </c:pt>
                <c:pt idx="27">
                  <c:v>931076.63656353741</c:v>
                </c:pt>
                <c:pt idx="28">
                  <c:v>965548.32815494621</c:v>
                </c:pt>
                <c:pt idx="29">
                  <c:v>1000106.1989753335</c:v>
                </c:pt>
              </c:numCache>
            </c:numRef>
          </c:val>
        </c:ser>
        <c:ser>
          <c:idx val="1"/>
          <c:order val="1"/>
          <c:tx>
            <c:strRef>
              <c:f>Antic.Volunt.!$B$11</c:f>
              <c:strCache>
                <c:ptCount val="1"/>
                <c:pt idx="0">
                  <c:v>63,50</c:v>
                </c:pt>
              </c:strCache>
            </c:strRef>
          </c:tx>
          <c:marker>
            <c:symbol val="none"/>
          </c:marker>
          <c:val>
            <c:numRef>
              <c:f>Antic.Volunt.!$D$16:$AG$16</c:f>
              <c:numCache>
                <c:formatCode>#,##0.00\ "€"</c:formatCode>
                <c:ptCount val="30"/>
                <c:pt idx="0">
                  <c:v>23046</c:v>
                </c:pt>
                <c:pt idx="1">
                  <c:v>56056.32</c:v>
                </c:pt>
                <c:pt idx="2">
                  <c:v>89149.165799999988</c:v>
                </c:pt>
                <c:pt idx="3">
                  <c:v>122324.74371449999</c:v>
                </c:pt>
                <c:pt idx="4">
                  <c:v>155583.26057378622</c:v>
                </c:pt>
                <c:pt idx="5">
                  <c:v>188924.92372522067</c:v>
                </c:pt>
                <c:pt idx="6">
                  <c:v>222349.94103453369</c:v>
                </c:pt>
                <c:pt idx="7">
                  <c:v>255858.52088712002</c:v>
                </c:pt>
                <c:pt idx="8">
                  <c:v>289450.8721893378</c:v>
                </c:pt>
                <c:pt idx="9">
                  <c:v>323127.20436981111</c:v>
                </c:pt>
                <c:pt idx="10">
                  <c:v>356887.72738073563</c:v>
                </c:pt>
                <c:pt idx="11">
                  <c:v>390732.65169918747</c:v>
                </c:pt>
                <c:pt idx="12">
                  <c:v>424662.18832843541</c:v>
                </c:pt>
                <c:pt idx="13">
                  <c:v>458676.54879925644</c:v>
                </c:pt>
                <c:pt idx="14">
                  <c:v>492775.94517125457</c:v>
                </c:pt>
                <c:pt idx="15">
                  <c:v>526960.59003418265</c:v>
                </c:pt>
                <c:pt idx="16">
                  <c:v>561230.69650926802</c:v>
                </c:pt>
                <c:pt idx="17">
                  <c:v>595586.47825054114</c:v>
                </c:pt>
                <c:pt idx="18">
                  <c:v>630028.1494461674</c:v>
                </c:pt>
                <c:pt idx="19">
                  <c:v>664555.92481978273</c:v>
                </c:pt>
                <c:pt idx="20">
                  <c:v>699170.01963183214</c:v>
                </c:pt>
                <c:pt idx="21">
                  <c:v>733870.64968091168</c:v>
                </c:pt>
                <c:pt idx="22">
                  <c:v>768658.03130511392</c:v>
                </c:pt>
                <c:pt idx="23">
                  <c:v>803532.38138337666</c:v>
                </c:pt>
                <c:pt idx="24">
                  <c:v>838493.91733683506</c:v>
                </c:pt>
                <c:pt idx="25">
                  <c:v>873542.85713017709</c:v>
                </c:pt>
                <c:pt idx="26">
                  <c:v>908679.41927300242</c:v>
                </c:pt>
                <c:pt idx="27">
                  <c:v>943903.82282118488</c:v>
                </c:pt>
                <c:pt idx="28">
                  <c:v>979216.28737823782</c:v>
                </c:pt>
                <c:pt idx="29">
                  <c:v>1014617.0330966833</c:v>
                </c:pt>
              </c:numCache>
            </c:numRef>
          </c:val>
        </c:ser>
        <c:ser>
          <c:idx val="2"/>
          <c:order val="2"/>
          <c:tx>
            <c:strRef>
              <c:f>Antic.Volunt.!$B$18</c:f>
              <c:strCache>
                <c:ptCount val="1"/>
                <c:pt idx="0">
                  <c:v>63,75</c:v>
                </c:pt>
              </c:strCache>
            </c:strRef>
          </c:tx>
          <c:marker>
            <c:symbol val="none"/>
          </c:marker>
          <c:val>
            <c:numRef>
              <c:f>Antic.Volunt.!$D$23:$AG$23</c:f>
              <c:numCache>
                <c:formatCode>#,##0.00\ "€"</c:formatCode>
                <c:ptCount val="30"/>
                <c:pt idx="0">
                  <c:v>13556</c:v>
                </c:pt>
                <c:pt idx="1">
                  <c:v>47352.28</c:v>
                </c:pt>
                <c:pt idx="2">
                  <c:v>81233.050699999993</c:v>
                </c:pt>
                <c:pt idx="3">
                  <c:v>115198.52332674999</c:v>
                </c:pt>
                <c:pt idx="4">
                  <c:v>149248.90963506687</c:v>
                </c:pt>
                <c:pt idx="5">
                  <c:v>183384.42190915454</c:v>
                </c:pt>
                <c:pt idx="6">
                  <c:v>217605.27296392742</c:v>
                </c:pt>
                <c:pt idx="7">
                  <c:v>251911.67614633724</c:v>
                </c:pt>
                <c:pt idx="8">
                  <c:v>286303.84533670306</c:v>
                </c:pt>
                <c:pt idx="9">
                  <c:v>320781.99495004478</c:v>
                </c:pt>
                <c:pt idx="10">
                  <c:v>355346.33993741986</c:v>
                </c:pt>
                <c:pt idx="11">
                  <c:v>389997.09578726342</c:v>
                </c:pt>
                <c:pt idx="12">
                  <c:v>424734.47852673155</c:v>
                </c:pt>
                <c:pt idx="13">
                  <c:v>459558.70472304837</c:v>
                </c:pt>
                <c:pt idx="14">
                  <c:v>494469.991484856</c:v>
                </c:pt>
                <c:pt idx="15">
                  <c:v>529468.55646356812</c:v>
                </c:pt>
                <c:pt idx="16">
                  <c:v>564554.61785472697</c:v>
                </c:pt>
                <c:pt idx="17">
                  <c:v>599728.39439936378</c:v>
                </c:pt>
                <c:pt idx="18">
                  <c:v>634990.10538536217</c:v>
                </c:pt>
                <c:pt idx="19">
                  <c:v>670339.97064882552</c:v>
                </c:pt>
                <c:pt idx="20">
                  <c:v>705778.21057544753</c:v>
                </c:pt>
                <c:pt idx="21">
                  <c:v>741305.04610188608</c:v>
                </c:pt>
                <c:pt idx="22">
                  <c:v>776920.69871714083</c:v>
                </c:pt>
                <c:pt idx="23">
                  <c:v>812625.3904639337</c:v>
                </c:pt>
                <c:pt idx="24">
                  <c:v>848419.34394009353</c:v>
                </c:pt>
                <c:pt idx="25">
                  <c:v>884302.78229994373</c:v>
                </c:pt>
                <c:pt idx="26">
                  <c:v>920275.92925569357</c:v>
                </c:pt>
                <c:pt idx="27">
                  <c:v>956339.00907883281</c:v>
                </c:pt>
                <c:pt idx="28">
                  <c:v>992492.24660152989</c:v>
                </c:pt>
                <c:pt idx="29">
                  <c:v>1028735.8672180336</c:v>
                </c:pt>
              </c:numCache>
            </c:numRef>
          </c:val>
        </c:ser>
        <c:ser>
          <c:idx val="3"/>
          <c:order val="3"/>
          <c:tx>
            <c:strRef>
              <c:f>Antic.Volunt.!$B$25</c:f>
              <c:strCache>
                <c:ptCount val="1"/>
                <c:pt idx="0">
                  <c:v>64,00</c:v>
                </c:pt>
              </c:strCache>
            </c:strRef>
          </c:tx>
          <c:marker>
            <c:symbol val="none"/>
          </c:marker>
          <c:val>
            <c:numRef>
              <c:f>Antic.Volunt.!$D$30:$AG$30</c:f>
              <c:numCache>
                <c:formatCode>#,##0.00\ "€"</c:formatCode>
                <c:ptCount val="30"/>
                <c:pt idx="0">
                  <c:v>3574.7275681294195</c:v>
                </c:pt>
                <c:pt idx="1">
                  <c:v>37758.885116328391</c:v>
                </c:pt>
                <c:pt idx="2">
                  <c:v>72028.503058397851</c:v>
                </c:pt>
                <c:pt idx="3">
                  <c:v>106383.79504532249</c:v>
                </c:pt>
                <c:pt idx="4">
                  <c:v>140824.97526221443</c:v>
                </c:pt>
                <c:pt idx="5">
                  <c:v>175352.25842964862</c:v>
                </c:pt>
                <c:pt idx="6">
                  <c:v>209965.85980500138</c:v>
                </c:pt>
                <c:pt idx="7">
                  <c:v>244665.99518379252</c:v>
                </c:pt>
                <c:pt idx="8">
                  <c:v>279452.88090103061</c:v>
                </c:pt>
                <c:pt idx="9">
                  <c:v>314326.73383256182</c:v>
                </c:pt>
                <c:pt idx="10">
                  <c:v>349287.77139642183</c:v>
                </c:pt>
                <c:pt idx="11">
                  <c:v>384336.21155419154</c:v>
                </c:pt>
                <c:pt idx="12">
                  <c:v>419472.27281235566</c:v>
                </c:pt>
                <c:pt idx="13">
                  <c:v>454696.17422366515</c:v>
                </c:pt>
                <c:pt idx="14">
                  <c:v>490008.13538850291</c:v>
                </c:pt>
                <c:pt idx="15">
                  <c:v>525408.37645625276</c:v>
                </c:pt>
                <c:pt idx="16">
                  <c:v>560897.11812667199</c:v>
                </c:pt>
                <c:pt idx="17">
                  <c:v>596474.58165126725</c:v>
                </c:pt>
                <c:pt idx="18">
                  <c:v>632140.988834674</c:v>
                </c:pt>
                <c:pt idx="19">
                  <c:v>667896.56203603931</c:v>
                </c:pt>
                <c:pt idx="20">
                  <c:v>703741.52417040803</c:v>
                </c:pt>
                <c:pt idx="21">
                  <c:v>739676.09871011262</c:v>
                </c:pt>
                <c:pt idx="22">
                  <c:v>775700.50968616654</c:v>
                </c:pt>
                <c:pt idx="23">
                  <c:v>811814.98168966058</c:v>
                </c:pt>
                <c:pt idx="24">
                  <c:v>848019.73987316329</c:v>
                </c:pt>
                <c:pt idx="25">
                  <c:v>884315.00995212479</c:v>
                </c:pt>
                <c:pt idx="26">
                  <c:v>920701.01820628368</c:v>
                </c:pt>
                <c:pt idx="27">
                  <c:v>957177.99148107797</c:v>
                </c:pt>
                <c:pt idx="28">
                  <c:v>993746.1571890593</c:v>
                </c:pt>
                <c:pt idx="29">
                  <c:v>1030405.7433113105</c:v>
                </c:pt>
              </c:numCache>
            </c:numRef>
          </c:val>
        </c:ser>
        <c:ser>
          <c:idx val="4"/>
          <c:order val="4"/>
          <c:tx>
            <c:strRef>
              <c:f>Antic.Volunt.!$B$32</c:f>
              <c:strCache>
                <c:ptCount val="1"/>
                <c:pt idx="0">
                  <c:v>64,25</c:v>
                </c:pt>
              </c:strCache>
            </c:strRef>
          </c:tx>
          <c:marker>
            <c:symbol val="none"/>
          </c:marker>
          <c:val>
            <c:numRef>
              <c:f>Antic.Volunt.!$D$37:$AG$37</c:f>
              <c:numCache>
                <c:formatCode>#,##0.00\ "€"</c:formatCode>
                <c:ptCount val="30"/>
                <c:pt idx="0">
                  <c:v>-6600</c:v>
                </c:pt>
                <c:pt idx="1">
                  <c:v>28361.070219748952</c:v>
                </c:pt>
                <c:pt idx="2">
                  <c:v>63409.543115047272</c:v>
                </c:pt>
                <c:pt idx="3">
                  <c:v>98545.637192583847</c:v>
                </c:pt>
                <c:pt idx="4">
                  <c:v>133769.57150531426</c:v>
                </c:pt>
                <c:pt idx="5">
                  <c:v>169081.56565382649</c:v>
                </c:pt>
                <c:pt idx="6">
                  <c:v>204481.83978770999</c:v>
                </c:pt>
                <c:pt idx="7">
                  <c:v>239970.6146069282</c:v>
                </c:pt>
                <c:pt idx="8">
                  <c:v>275548.11136319448</c:v>
                </c:pt>
                <c:pt idx="9">
                  <c:v>311214.55186135141</c:v>
                </c:pt>
                <c:pt idx="10">
                  <c:v>346970.15846075374</c:v>
                </c:pt>
                <c:pt idx="11">
                  <c:v>382815.15407665458</c:v>
                </c:pt>
                <c:pt idx="12">
                  <c:v>418749.76218159514</c:v>
                </c:pt>
                <c:pt idx="13">
                  <c:v>454774.20680679806</c:v>
                </c:pt>
                <c:pt idx="14">
                  <c:v>490888.71254356398</c:v>
                </c:pt>
                <c:pt idx="15">
                  <c:v>527093.50454467186</c:v>
                </c:pt>
                <c:pt idx="16">
                  <c:v>563388.80852578243</c:v>
                </c:pt>
                <c:pt idx="17">
                  <c:v>599774.85076684586</c:v>
                </c:pt>
                <c:pt idx="18">
                  <c:v>636251.85811351193</c:v>
                </c:pt>
                <c:pt idx="19">
                  <c:v>672820.05797854462</c:v>
                </c:pt>
                <c:pt idx="20">
                  <c:v>709479.67834323994</c:v>
                </c:pt>
                <c:pt idx="21">
                  <c:v>746230.94775884692</c:v>
                </c:pt>
                <c:pt idx="22">
                  <c:v>783074.09534799296</c:v>
                </c:pt>
                <c:pt idx="23">
                  <c:v>820009.35080611182</c:v>
                </c:pt>
                <c:pt idx="24">
                  <c:v>857036.94440287596</c:v>
                </c:pt>
                <c:pt idx="25">
                  <c:v>894157.10698363208</c:v>
                </c:pt>
                <c:pt idx="26">
                  <c:v>931370.06997084012</c:v>
                </c:pt>
                <c:pt idx="27">
                  <c:v>968676.06536551611</c:v>
                </c:pt>
                <c:pt idx="28">
                  <c:v>1006075.3257486788</c:v>
                </c:pt>
                <c:pt idx="29">
                  <c:v>1043568.0842827994</c:v>
                </c:pt>
              </c:numCache>
            </c:numRef>
          </c:val>
        </c:ser>
        <c:ser>
          <c:idx val="5"/>
          <c:order val="5"/>
          <c:tx>
            <c:strRef>
              <c:f>Antic.Volunt.!$B$39</c:f>
              <c:strCache>
                <c:ptCount val="1"/>
                <c:pt idx="0">
                  <c:v>64,50</c:v>
                </c:pt>
              </c:strCache>
            </c:strRef>
          </c:tx>
          <c:marker>
            <c:symbol val="none"/>
          </c:marker>
          <c:val>
            <c:numRef>
              <c:f>Antic.Volunt.!$D$44:$AG$44</c:f>
              <c:numCache>
                <c:formatCode>#,##0.00\ "€"</c:formatCode>
                <c:ptCount val="30"/>
                <c:pt idx="0">
                  <c:v>-6600</c:v>
                </c:pt>
                <c:pt idx="1">
                  <c:v>18428.370274546447</c:v>
                </c:pt>
                <c:pt idx="2">
                  <c:v>54093.972291523532</c:v>
                </c:pt>
                <c:pt idx="3">
                  <c:v>89848.738313543057</c:v>
                </c:pt>
                <c:pt idx="4">
                  <c:v>125692.89125061763</c:v>
                </c:pt>
                <c:pt idx="5">
                  <c:v>161626.65457003488</c:v>
                </c:pt>
                <c:pt idx="6">
                  <c:v>197650.25229775067</c:v>
                </c:pt>
                <c:pt idx="7">
                  <c:v>233763.90901978576</c:v>
                </c:pt>
                <c:pt idx="8">
                  <c:v>269967.84988362592</c:v>
                </c:pt>
                <c:pt idx="9">
                  <c:v>306262.30059962568</c:v>
                </c:pt>
                <c:pt idx="10">
                  <c:v>342647.48744241544</c:v>
                </c:pt>
                <c:pt idx="11">
                  <c:v>379123.63725231215</c:v>
                </c:pt>
                <c:pt idx="12">
                  <c:v>415690.97743673366</c:v>
                </c:pt>
                <c:pt idx="13">
                  <c:v>452349.73597161617</c:v>
                </c:pt>
                <c:pt idx="14">
                  <c:v>489100.1414028359</c:v>
                </c:pt>
                <c:pt idx="15">
                  <c:v>525942.42284763372</c:v>
                </c:pt>
                <c:pt idx="16">
                  <c:v>562876.80999604345</c:v>
                </c:pt>
                <c:pt idx="17">
                  <c:v>599903.53311232419</c:v>
                </c:pt>
                <c:pt idx="18">
                  <c:v>637022.82303639571</c:v>
                </c:pt>
                <c:pt idx="19">
                  <c:v>674234.91118527739</c:v>
                </c:pt>
                <c:pt idx="20">
                  <c:v>711540.02955453121</c:v>
                </c:pt>
                <c:pt idx="21">
                  <c:v>748938.41071970819</c:v>
                </c:pt>
                <c:pt idx="22">
                  <c:v>786430.28783779813</c:v>
                </c:pt>
                <c:pt idx="23">
                  <c:v>824015.89464868326</c:v>
                </c:pt>
                <c:pt idx="24">
                  <c:v>861695.46547659568</c:v>
                </c:pt>
                <c:pt idx="25">
                  <c:v>899469.23523157788</c:v>
                </c:pt>
                <c:pt idx="26">
                  <c:v>937337.4394109475</c:v>
                </c:pt>
                <c:pt idx="27">
                  <c:v>975300.31410076551</c:v>
                </c:pt>
                <c:pt idx="28">
                  <c:v>1013358.0959773081</c:v>
                </c:pt>
                <c:pt idx="29">
                  <c:v>1051511.0223085419</c:v>
                </c:pt>
              </c:numCache>
            </c:numRef>
          </c:val>
        </c:ser>
        <c:ser>
          <c:idx val="6"/>
          <c:order val="6"/>
          <c:tx>
            <c:strRef>
              <c:f>Antic.Volunt.!$B$46</c:f>
              <c:strCache>
                <c:ptCount val="1"/>
                <c:pt idx="0">
                  <c:v>64,75</c:v>
                </c:pt>
              </c:strCache>
            </c:strRef>
          </c:tx>
          <c:marker>
            <c:symbol val="none"/>
          </c:marker>
          <c:val>
            <c:numRef>
              <c:f>Antic.Volunt.!$D$51:$AG$51</c:f>
              <c:numCache>
                <c:formatCode>#,##0.00\ "€"</c:formatCode>
                <c:ptCount val="30"/>
                <c:pt idx="0">
                  <c:v>-6600</c:v>
                </c:pt>
                <c:pt idx="1">
                  <c:v>7970.8369696790796</c:v>
                </c:pt>
                <c:pt idx="2">
                  <c:v>43818.406343885639</c:v>
                </c:pt>
                <c:pt idx="3">
                  <c:v>79755.594641527714</c:v>
                </c:pt>
                <c:pt idx="4">
                  <c:v>115782.62590991388</c:v>
                </c:pt>
                <c:pt idx="5">
                  <c:v>151899.72475647103</c:v>
                </c:pt>
                <c:pt idx="6">
                  <c:v>188107.11635014456</c:v>
                </c:pt>
                <c:pt idx="7">
                  <c:v>224405.02642280227</c:v>
                </c:pt>
                <c:pt idx="8">
                  <c:v>260793.68127064162</c:v>
                </c:pt>
                <c:pt idx="9">
                  <c:v>297273.30775560054</c:v>
                </c:pt>
                <c:pt idx="10">
                  <c:v>333844.13330677187</c:v>
                </c:pt>
                <c:pt idx="11">
                  <c:v>370506.38592182111</c:v>
                </c:pt>
                <c:pt idx="12">
                  <c:v>407260.29416840803</c:v>
                </c:pt>
                <c:pt idx="13">
                  <c:v>444106.08718561137</c:v>
                </c:pt>
                <c:pt idx="14">
                  <c:v>481043.99468535773</c:v>
                </c:pt>
                <c:pt idx="15">
                  <c:v>518074.24695385346</c:v>
                </c:pt>
                <c:pt idx="16">
                  <c:v>555197.07485302049</c:v>
                </c:pt>
                <c:pt idx="17">
                  <c:v>592412.70982193539</c:v>
                </c:pt>
                <c:pt idx="18">
                  <c:v>629721.38387827261</c:v>
                </c:pt>
                <c:pt idx="19">
                  <c:v>667123.32961975061</c:v>
                </c:pt>
                <c:pt idx="20">
                  <c:v>704618.7802255823</c:v>
                </c:pt>
                <c:pt idx="21">
                  <c:v>742207.96945792856</c:v>
                </c:pt>
                <c:pt idx="22">
                  <c:v>779891.13166335574</c:v>
                </c:pt>
                <c:pt idx="23">
                  <c:v>817668.5017742964</c:v>
                </c:pt>
                <c:pt idx="24">
                  <c:v>855540.31531051442</c:v>
                </c:pt>
                <c:pt idx="25">
                  <c:v>893506.80838057306</c:v>
                </c:pt>
                <c:pt idx="26">
                  <c:v>931568.21768330678</c:v>
                </c:pt>
                <c:pt idx="27">
                  <c:v>969724.78050929739</c:v>
                </c:pt>
                <c:pt idx="28">
                  <c:v>1007976.734742353</c:v>
                </c:pt>
                <c:pt idx="29">
                  <c:v>1046324.3188609912</c:v>
                </c:pt>
              </c:numCache>
            </c:numRef>
          </c:val>
        </c:ser>
        <c:ser>
          <c:idx val="10"/>
          <c:order val="7"/>
          <c:tx>
            <c:strRef>
              <c:f>Antic.Volunt.!$B$53</c:f>
              <c:strCache>
                <c:ptCount val="1"/>
                <c:pt idx="0">
                  <c:v>65,00</c:v>
                </c:pt>
              </c:strCache>
            </c:strRef>
          </c:tx>
          <c:marker>
            <c:symbol val="none"/>
          </c:marker>
          <c:val>
            <c:numRef>
              <c:f>Antic.Volunt.!$D$58:$AG$58</c:f>
              <c:numCache>
                <c:formatCode>#,##0.00\ "€"</c:formatCode>
                <c:ptCount val="30"/>
                <c:pt idx="0">
                  <c:v>-6600</c:v>
                </c:pt>
                <c:pt idx="1">
                  <c:v>-2600.482656448361</c:v>
                </c:pt>
                <c:pt idx="2">
                  <c:v>33336.705641193708</c:v>
                </c:pt>
                <c:pt idx="3">
                  <c:v>69363.736909579879</c:v>
                </c:pt>
                <c:pt idx="4">
                  <c:v>105480.83575613701</c:v>
                </c:pt>
                <c:pt idx="5">
                  <c:v>141688.22734981054</c:v>
                </c:pt>
                <c:pt idx="6">
                  <c:v>177986.13742246825</c:v>
                </c:pt>
                <c:pt idx="7">
                  <c:v>214374.7922703076</c:v>
                </c:pt>
                <c:pt idx="8">
                  <c:v>250854.41875526655</c:v>
                </c:pt>
                <c:pt idx="9">
                  <c:v>287425.2443064379</c:v>
                </c:pt>
                <c:pt idx="10">
                  <c:v>324087.49692148715</c:v>
                </c:pt>
                <c:pt idx="11">
                  <c:v>360841.40516807407</c:v>
                </c:pt>
                <c:pt idx="12">
                  <c:v>397687.1981852774</c:v>
                </c:pt>
                <c:pt idx="13">
                  <c:v>434625.10568502377</c:v>
                </c:pt>
                <c:pt idx="14">
                  <c:v>471655.3579535195</c:v>
                </c:pt>
                <c:pt idx="15">
                  <c:v>508778.18585268647</c:v>
                </c:pt>
                <c:pt idx="16">
                  <c:v>545993.82082160132</c:v>
                </c:pt>
                <c:pt idx="17">
                  <c:v>583302.49487793853</c:v>
                </c:pt>
                <c:pt idx="18">
                  <c:v>620704.44061941653</c:v>
                </c:pt>
                <c:pt idx="19">
                  <c:v>658199.89122524823</c:v>
                </c:pt>
                <c:pt idx="20">
                  <c:v>695789.08045759448</c:v>
                </c:pt>
                <c:pt idx="21">
                  <c:v>733472.24266302167</c:v>
                </c:pt>
                <c:pt idx="22">
                  <c:v>771249.61277396232</c:v>
                </c:pt>
                <c:pt idx="23">
                  <c:v>809121.42631018034</c:v>
                </c:pt>
                <c:pt idx="24">
                  <c:v>847087.91938023898</c:v>
                </c:pt>
                <c:pt idx="25">
                  <c:v>885149.3286829727</c:v>
                </c:pt>
                <c:pt idx="26">
                  <c:v>923305.89150896331</c:v>
                </c:pt>
                <c:pt idx="27">
                  <c:v>961557.84574201889</c:v>
                </c:pt>
                <c:pt idx="28">
                  <c:v>999905.42986065708</c:v>
                </c:pt>
                <c:pt idx="29">
                  <c:v>1038348.8829395919</c:v>
                </c:pt>
              </c:numCache>
            </c:numRef>
          </c:val>
        </c:ser>
        <c:ser>
          <c:idx val="7"/>
          <c:order val="8"/>
          <c:tx>
            <c:strRef>
              <c:f>Antic.Volunt.!$B$60</c:f>
              <c:strCache>
                <c:ptCount val="1"/>
                <c:pt idx="0">
                  <c:v>65,25</c:v>
                </c:pt>
              </c:strCache>
            </c:strRef>
          </c:tx>
          <c:marker>
            <c:symbol val="none"/>
          </c:marker>
          <c:val>
            <c:numRef>
              <c:f>Antic.Volunt.!$D$65:$AG$65</c:f>
              <c:numCache>
                <c:formatCode>#,##0.00\ "€"</c:formatCode>
                <c:ptCount val="30"/>
                <c:pt idx="0">
                  <c:v>-6600</c:v>
                </c:pt>
                <c:pt idx="1">
                  <c:v>-13216.5</c:v>
                </c:pt>
                <c:pt idx="2">
                  <c:v>22903.110573264625</c:v>
                </c:pt>
                <c:pt idx="3">
                  <c:v>59113.02017296241</c:v>
                </c:pt>
                <c:pt idx="4">
                  <c:v>95413.454546659428</c:v>
                </c:pt>
                <c:pt idx="5">
                  <c:v>131804.64000629069</c:v>
                </c:pt>
                <c:pt idx="6">
                  <c:v>168286.80342957104</c:v>
                </c:pt>
                <c:pt idx="7">
                  <c:v>204860.17226140958</c:v>
                </c:pt>
                <c:pt idx="8">
                  <c:v>241524.97451532772</c:v>
                </c:pt>
                <c:pt idx="9">
                  <c:v>278281.43877488066</c:v>
                </c:pt>
                <c:pt idx="10">
                  <c:v>315129.7941950825</c:v>
                </c:pt>
                <c:pt idx="11">
                  <c:v>352070.27050383482</c:v>
                </c:pt>
                <c:pt idx="12">
                  <c:v>389103.09800335905</c:v>
                </c:pt>
                <c:pt idx="13">
                  <c:v>426228.50757163204</c:v>
                </c:pt>
                <c:pt idx="14">
                  <c:v>463446.73066382576</c:v>
                </c:pt>
                <c:pt idx="15">
                  <c:v>500757.99931374996</c:v>
                </c:pt>
                <c:pt idx="16">
                  <c:v>538162.54613529891</c:v>
                </c:pt>
                <c:pt idx="17">
                  <c:v>575660.6043239017</c:v>
                </c:pt>
                <c:pt idx="18">
                  <c:v>613252.40765797603</c:v>
                </c:pt>
                <c:pt idx="19">
                  <c:v>650938.19050038559</c:v>
                </c:pt>
                <c:pt idx="20">
                  <c:v>688718.18779990112</c:v>
                </c:pt>
                <c:pt idx="21">
                  <c:v>726592.63509266544</c:v>
                </c:pt>
                <c:pt idx="22">
                  <c:v>764561.76850366173</c:v>
                </c:pt>
                <c:pt idx="23">
                  <c:v>802625.82474818546</c:v>
                </c:pt>
                <c:pt idx="24">
                  <c:v>840785.04113332054</c:v>
                </c:pt>
                <c:pt idx="25">
                  <c:v>879039.65555941849</c:v>
                </c:pt>
                <c:pt idx="26">
                  <c:v>917389.90652158158</c:v>
                </c:pt>
                <c:pt idx="27">
                  <c:v>955836.03311115014</c:v>
                </c:pt>
                <c:pt idx="28">
                  <c:v>994378.27501719259</c:v>
                </c:pt>
                <c:pt idx="29">
                  <c:v>1033016.8725280002</c:v>
                </c:pt>
              </c:numCache>
            </c:numRef>
          </c:val>
        </c:ser>
        <c:marker val="1"/>
        <c:axId val="84300928"/>
        <c:axId val="84302464"/>
      </c:lineChart>
      <c:catAx>
        <c:axId val="84300928"/>
        <c:scaling>
          <c:orientation val="minMax"/>
        </c:scaling>
        <c:axPos val="b"/>
        <c:majorTickMark val="none"/>
        <c:tickLblPos val="nextTo"/>
        <c:crossAx val="84302464"/>
        <c:crosses val="autoZero"/>
        <c:auto val="1"/>
        <c:lblAlgn val="ctr"/>
        <c:lblOffset val="100"/>
      </c:catAx>
      <c:valAx>
        <c:axId val="84302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Acumulado €</a:t>
                </a:r>
              </a:p>
            </c:rich>
          </c:tx>
          <c:layout/>
        </c:title>
        <c:numFmt formatCode="#,##0.00\ &quot;€&quot;" sourceLinked="1"/>
        <c:majorTickMark val="none"/>
        <c:tickLblPos val="nextTo"/>
        <c:crossAx val="84300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strucciones de uso'!A1"/><Relationship Id="rId2" Type="http://schemas.openxmlformats.org/officeDocument/2006/relationships/hyperlink" Target="#'Instrucciones de uso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strucciones de uso'!A1"/><Relationship Id="rId2" Type="http://schemas.openxmlformats.org/officeDocument/2006/relationships/hyperlink" Target="#'Instrucciones de uso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38100</xdr:rowOff>
    </xdr:from>
    <xdr:to>
      <xdr:col>11</xdr:col>
      <xdr:colOff>657224</xdr:colOff>
      <xdr:row>114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381001</xdr:colOff>
      <xdr:row>0</xdr:row>
      <xdr:rowOff>104775</xdr:rowOff>
    </xdr:from>
    <xdr:to>
      <xdr:col>11</xdr:col>
      <xdr:colOff>466726</xdr:colOff>
      <xdr:row>2</xdr:row>
      <xdr:rowOff>57150</xdr:rowOff>
    </xdr:to>
    <xdr:grpSp>
      <xdr:nvGrpSpPr>
        <xdr:cNvPr id="3" name="2 Grupo">
          <a:hlinkClick xmlns:r="http://schemas.openxmlformats.org/officeDocument/2006/relationships" r:id="rId2"/>
        </xdr:cNvPr>
        <xdr:cNvGrpSpPr/>
      </xdr:nvGrpSpPr>
      <xdr:grpSpPr>
        <a:xfrm>
          <a:off x="7839076" y="104775"/>
          <a:ext cx="1609725" cy="314325"/>
          <a:chOff x="-24566" y="941635"/>
          <a:chExt cx="2218491" cy="859928"/>
        </a:xfrm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</xdr:grpSpPr>
      <xdr:sp macro="" textlink="">
        <xdr:nvSpPr>
          <xdr:cNvPr id="4" name="3 Rectángulo redondeado"/>
          <xdr:cNvSpPr/>
        </xdr:nvSpPr>
        <xdr:spPr>
          <a:xfrm>
            <a:off x="1687" y="941635"/>
            <a:ext cx="2192238" cy="859928"/>
          </a:xfrm>
          <a:prstGeom prst="roundRect">
            <a:avLst>
              <a:gd name="adj" fmla="val 10000"/>
            </a:avLst>
          </a:prstGeom>
          <a:sp3d contourW="19050" prstMaterial="metal">
            <a:bevelT w="88900" h="203200"/>
            <a:bevelB w="165100" h="2540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1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4 Rectángulo">
            <a:hlinkClick xmlns:r="http://schemas.openxmlformats.org/officeDocument/2006/relationships" r:id="rId3"/>
          </xdr:cNvPr>
          <xdr:cNvSpPr/>
        </xdr:nvSpPr>
        <xdr:spPr>
          <a:xfrm>
            <a:off x="-24566" y="966820"/>
            <a:ext cx="2193307" cy="809558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83820" tIns="83820" rIns="83820" bIns="83820" numCol="1" spcCol="1270" anchor="ctr" anchorCtr="0">
            <a:noAutofit/>
          </a:bodyPr>
          <a:lstStyle/>
          <a:p>
            <a:pPr lvl="0" algn="ctr" defTabSz="9779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1200" kern="1200"/>
              <a:t>Ir a Instrucciones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38100</xdr:rowOff>
    </xdr:from>
    <xdr:to>
      <xdr:col>11</xdr:col>
      <xdr:colOff>657224</xdr:colOff>
      <xdr:row>101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381001</xdr:colOff>
      <xdr:row>0</xdr:row>
      <xdr:rowOff>104775</xdr:rowOff>
    </xdr:from>
    <xdr:to>
      <xdr:col>11</xdr:col>
      <xdr:colOff>466726</xdr:colOff>
      <xdr:row>2</xdr:row>
      <xdr:rowOff>85725</xdr:rowOff>
    </xdr:to>
    <xdr:grpSp>
      <xdr:nvGrpSpPr>
        <xdr:cNvPr id="3" name="2 Grupo">
          <a:hlinkClick xmlns:r="http://schemas.openxmlformats.org/officeDocument/2006/relationships" r:id="rId2"/>
        </xdr:cNvPr>
        <xdr:cNvGrpSpPr/>
      </xdr:nvGrpSpPr>
      <xdr:grpSpPr>
        <a:xfrm>
          <a:off x="7839076" y="104775"/>
          <a:ext cx="1609725" cy="342900"/>
          <a:chOff x="-24566" y="941635"/>
          <a:chExt cx="2218491" cy="859928"/>
        </a:xfrm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</xdr:grpSpPr>
      <xdr:sp macro="" textlink="">
        <xdr:nvSpPr>
          <xdr:cNvPr id="4" name="3 Rectángulo redondeado"/>
          <xdr:cNvSpPr/>
        </xdr:nvSpPr>
        <xdr:spPr>
          <a:xfrm>
            <a:off x="1687" y="941635"/>
            <a:ext cx="2192238" cy="859928"/>
          </a:xfrm>
          <a:prstGeom prst="roundRect">
            <a:avLst>
              <a:gd name="adj" fmla="val 10000"/>
            </a:avLst>
          </a:prstGeom>
          <a:sp3d contourW="19050" prstMaterial="metal">
            <a:bevelT w="88900" h="203200"/>
            <a:bevelB w="165100" h="2540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1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4 Rectángulo">
            <a:hlinkClick xmlns:r="http://schemas.openxmlformats.org/officeDocument/2006/relationships" r:id="rId3"/>
          </xdr:cNvPr>
          <xdr:cNvSpPr/>
        </xdr:nvSpPr>
        <xdr:spPr>
          <a:xfrm>
            <a:off x="-24566" y="966820"/>
            <a:ext cx="2193307" cy="809558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83820" tIns="83820" rIns="83820" bIns="83820" numCol="1" spcCol="1270" anchor="ctr" anchorCtr="0">
            <a:noAutofit/>
          </a:bodyPr>
          <a:lstStyle/>
          <a:p>
            <a:pPr lvl="0" algn="ctr" defTabSz="9779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1200" kern="1200"/>
              <a:t>Ir a Instrucciones</a:t>
            </a: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6.seg-social.es/autocalculo/inicio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XFD63"/>
  <sheetViews>
    <sheetView showGridLines="0" tabSelected="1" workbookViewId="0"/>
  </sheetViews>
  <sheetFormatPr baseColWidth="10" defaultRowHeight="15"/>
  <cols>
    <col min="1" max="1" width="14" style="38" customWidth="1"/>
    <col min="2" max="2" width="11.42578125" style="38"/>
    <col min="3" max="3" width="11.42578125" style="38" customWidth="1"/>
    <col min="4" max="4" width="23.7109375" style="38" customWidth="1"/>
    <col min="5" max="6" width="25.28515625" style="38" customWidth="1"/>
    <col min="7" max="7" width="21.7109375" style="38" customWidth="1"/>
    <col min="8" max="8" width="11.85546875" style="38" customWidth="1"/>
    <col min="9" max="16384" width="11.42578125" style="38"/>
  </cols>
  <sheetData>
    <row r="1" spans="1:11" ht="15.75">
      <c r="A1" s="36" t="s">
        <v>36</v>
      </c>
      <c r="B1" s="37"/>
      <c r="C1" s="37"/>
      <c r="D1" s="37"/>
      <c r="E1" s="16" t="s">
        <v>112</v>
      </c>
    </row>
    <row r="2" spans="1:11" s="40" customFormat="1">
      <c r="A2" s="39"/>
      <c r="E2" s="41"/>
    </row>
    <row r="3" spans="1:11" s="42" customFormat="1" ht="12">
      <c r="A3" s="42" t="s">
        <v>79</v>
      </c>
    </row>
    <row r="4" spans="1:11" s="42" customFormat="1" ht="12">
      <c r="A4" s="42" t="s">
        <v>60</v>
      </c>
    </row>
    <row r="5" spans="1:11" s="42" customFormat="1" ht="12">
      <c r="A5" s="42" t="s">
        <v>86</v>
      </c>
    </row>
    <row r="6" spans="1:11" s="42" customFormat="1" ht="13.5">
      <c r="A6" s="42" t="s">
        <v>114</v>
      </c>
    </row>
    <row r="7" spans="1:11" s="42" customFormat="1">
      <c r="A7" s="42" t="s">
        <v>115</v>
      </c>
      <c r="I7" s="43" t="s">
        <v>89</v>
      </c>
      <c r="J7" s="44" t="s">
        <v>95</v>
      </c>
      <c r="K7" s="44"/>
    </row>
    <row r="8" spans="1:11" s="42" customFormat="1" ht="12">
      <c r="I8" s="43"/>
      <c r="J8" s="44"/>
      <c r="K8" s="44"/>
    </row>
    <row r="9" spans="1:11">
      <c r="A9" s="45" t="s">
        <v>116</v>
      </c>
    </row>
    <row r="10" spans="1:11">
      <c r="A10" s="45" t="s">
        <v>113</v>
      </c>
    </row>
    <row r="12" spans="1:11">
      <c r="A12" s="46" t="s">
        <v>80</v>
      </c>
      <c r="B12" s="103">
        <v>43205</v>
      </c>
      <c r="C12" s="47">
        <f>B12</f>
        <v>43205</v>
      </c>
      <c r="D12" s="48" t="s">
        <v>81</v>
      </c>
      <c r="E12" s="104">
        <v>2800</v>
      </c>
      <c r="G12" s="49" t="s">
        <v>84</v>
      </c>
      <c r="H12" s="106">
        <v>550</v>
      </c>
      <c r="I12" s="48" t="s">
        <v>97</v>
      </c>
      <c r="J12" s="46" t="s">
        <v>98</v>
      </c>
      <c r="K12" s="110"/>
    </row>
    <row r="13" spans="1:11">
      <c r="A13" s="46" t="s">
        <v>102</v>
      </c>
      <c r="B13" s="50">
        <f>(C12-C14)/365.25</f>
        <v>63.247091033538673</v>
      </c>
      <c r="C13" s="51" t="str">
        <f>IF(AND(F19=1,OR(Antic.C.Ajena!J4-B13&gt;4,E14&lt;E30)),"No reúne Condiciones para acceder a este tipo de Jubilación Anticipada",IF(AND(F19=2,OR(Antic.Volunt.!J4-B13&gt;2,E14&lt;F30)),"No reúne Condiciones para acceder a este tipo de Jubilación Anticipada",""))</f>
        <v/>
      </c>
      <c r="G13" s="46" t="s">
        <v>96</v>
      </c>
      <c r="H13" s="52" t="s">
        <v>90</v>
      </c>
      <c r="I13" s="52" t="s">
        <v>92</v>
      </c>
      <c r="J13" s="52" t="s">
        <v>93</v>
      </c>
      <c r="K13" s="111"/>
    </row>
    <row r="14" spans="1:11">
      <c r="A14" s="46" t="s">
        <v>83</v>
      </c>
      <c r="B14" s="103">
        <v>20104</v>
      </c>
      <c r="C14" s="53">
        <f>B14</f>
        <v>20104</v>
      </c>
      <c r="D14" s="48" t="s">
        <v>82</v>
      </c>
      <c r="E14" s="105">
        <v>33.799999999999997</v>
      </c>
      <c r="G14" s="46" t="s">
        <v>91</v>
      </c>
      <c r="H14" s="107">
        <v>20.09</v>
      </c>
      <c r="I14" s="107">
        <v>20.68</v>
      </c>
      <c r="J14" s="108">
        <f>I14/(H14/I14)</f>
        <v>21.287327028372324</v>
      </c>
      <c r="K14" s="112"/>
    </row>
    <row r="16" spans="1:11" s="42" customFormat="1" ht="12">
      <c r="A16" s="45" t="s">
        <v>78</v>
      </c>
      <c r="F16" s="54" t="s">
        <v>35</v>
      </c>
      <c r="G16" s="42" t="s">
        <v>85</v>
      </c>
    </row>
    <row r="17" spans="1:7" s="42" customFormat="1" ht="12">
      <c r="A17" s="45" t="s">
        <v>110</v>
      </c>
      <c r="F17" s="54"/>
    </row>
    <row r="18" spans="1:7">
      <c r="B18" s="55"/>
    </row>
    <row r="19" spans="1:7">
      <c r="E19" s="48" t="s">
        <v>109</v>
      </c>
      <c r="F19" s="109">
        <v>1</v>
      </c>
      <c r="G19" s="37"/>
    </row>
    <row r="21" spans="1:7" s="42" customFormat="1" ht="12"/>
    <row r="22" spans="1:7" s="42" customFormat="1" ht="12">
      <c r="A22" s="42" t="s">
        <v>105</v>
      </c>
      <c r="F22" s="51" t="s">
        <v>106</v>
      </c>
    </row>
    <row r="23" spans="1:7" s="42" customFormat="1" ht="12">
      <c r="A23" s="56" t="str">
        <f>IF(F19=1,"Pinche aquí para conocer los resultados por Causas Ajenas No Imputables a la Voluntad del Trabajador","")</f>
        <v>Pinche aquí para conocer los resultados por Causas Ajenas No Imputables a la Voluntad del Trabajador</v>
      </c>
      <c r="F23" s="51" t="s">
        <v>111</v>
      </c>
    </row>
    <row r="24" spans="1:7" s="42" customFormat="1" ht="12">
      <c r="A24" s="56" t="str">
        <f>IF(F19=2,"Pinche aquí para conocer los resultados por Causas Ajenas No Imputables a la Voluntad del Trabajador","")</f>
        <v/>
      </c>
    </row>
    <row r="25" spans="1:7" s="42" customFormat="1" ht="12"/>
    <row r="26" spans="1:7" s="42" customFormat="1" ht="12">
      <c r="A26" s="42" t="s">
        <v>61</v>
      </c>
    </row>
    <row r="27" spans="1:7" ht="15.75" thickBot="1"/>
    <row r="28" spans="1:7" ht="15.75" thickBot="1">
      <c r="D28" s="57" t="s">
        <v>67</v>
      </c>
      <c r="E28" s="58" t="s">
        <v>68</v>
      </c>
      <c r="F28" s="59" t="s">
        <v>69</v>
      </c>
    </row>
    <row r="29" spans="1:7" ht="18" customHeight="1">
      <c r="D29" s="60" t="s">
        <v>45</v>
      </c>
      <c r="E29" s="61" t="s">
        <v>76</v>
      </c>
      <c r="F29" s="62" t="s">
        <v>77</v>
      </c>
    </row>
    <row r="30" spans="1:7" ht="18" customHeight="1">
      <c r="D30" s="63" t="s">
        <v>70</v>
      </c>
      <c r="E30" s="64">
        <v>33</v>
      </c>
      <c r="F30" s="65">
        <v>35</v>
      </c>
    </row>
    <row r="31" spans="1:7" ht="27.75" customHeight="1">
      <c r="D31" s="63" t="s">
        <v>71</v>
      </c>
      <c r="E31" s="66" t="s">
        <v>75</v>
      </c>
      <c r="F31" s="65" t="s">
        <v>62</v>
      </c>
    </row>
    <row r="32" spans="1:7" ht="84.75" customHeight="1">
      <c r="D32" s="63" t="s">
        <v>63</v>
      </c>
      <c r="E32" s="66" t="s">
        <v>65</v>
      </c>
      <c r="F32" s="67" t="s">
        <v>64</v>
      </c>
    </row>
    <row r="33" spans="1:16384" ht="31.5" customHeight="1" thickBot="1">
      <c r="D33" s="68" t="s">
        <v>66</v>
      </c>
      <c r="E33" s="69">
        <v>5.0000000000000001E-3</v>
      </c>
      <c r="F33" s="70">
        <v>5.0000000000000001E-3</v>
      </c>
    </row>
    <row r="34" spans="1:16384" ht="27" customHeight="1" thickBot="1">
      <c r="C34" s="71" t="s">
        <v>72</v>
      </c>
      <c r="D34" s="72" t="s">
        <v>117</v>
      </c>
      <c r="E34" s="73" t="s">
        <v>74</v>
      </c>
      <c r="F34" s="73" t="s">
        <v>73</v>
      </c>
      <c r="G34" s="72" t="s">
        <v>118</v>
      </c>
      <c r="H34" s="74" t="s">
        <v>72</v>
      </c>
    </row>
    <row r="35" spans="1:16384" ht="15.75" customHeight="1">
      <c r="C35" s="26" t="s">
        <v>53</v>
      </c>
      <c r="D35" s="27" t="s">
        <v>41</v>
      </c>
      <c r="E35" s="75">
        <v>1.8749999999999999E-2</v>
      </c>
      <c r="F35" s="75">
        <v>0.02</v>
      </c>
      <c r="G35" s="28" t="s">
        <v>37</v>
      </c>
      <c r="H35" s="29" t="s">
        <v>53</v>
      </c>
    </row>
    <row r="36" spans="1:16384" ht="17.25" customHeight="1">
      <c r="A36" s="2"/>
      <c r="B36" s="2"/>
      <c r="C36" s="20" t="s">
        <v>54</v>
      </c>
      <c r="D36" s="18" t="s">
        <v>38</v>
      </c>
      <c r="E36" s="76">
        <v>1.7500000000000002E-2</v>
      </c>
      <c r="F36" s="76">
        <v>1.8749999999999999E-2</v>
      </c>
      <c r="G36" s="19" t="s">
        <v>38</v>
      </c>
      <c r="H36" s="21" t="s">
        <v>54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2"/>
      <c r="XEZ36" s="2"/>
      <c r="XFA36" s="2"/>
      <c r="XFB36" s="2"/>
      <c r="XFC36" s="2"/>
      <c r="XFD36" s="2"/>
    </row>
    <row r="37" spans="1:16384" ht="17.25" customHeight="1">
      <c r="A37" s="2"/>
      <c r="B37" s="2"/>
      <c r="C37" s="20" t="s">
        <v>55</v>
      </c>
      <c r="D37" s="18" t="s">
        <v>39</v>
      </c>
      <c r="E37" s="76">
        <v>1.6250000000000001E-2</v>
      </c>
      <c r="F37" s="76">
        <v>1.7500000000000002E-2</v>
      </c>
      <c r="G37" s="19" t="s">
        <v>39</v>
      </c>
      <c r="H37" s="21" t="s">
        <v>55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  <c r="XFD37" s="2"/>
    </row>
    <row r="38" spans="1:16384" ht="15.75" thickBot="1">
      <c r="A38" s="2"/>
      <c r="B38" s="2"/>
      <c r="C38" s="22" t="s">
        <v>56</v>
      </c>
      <c r="D38" s="23" t="s">
        <v>40</v>
      </c>
      <c r="E38" s="77">
        <v>1.4999999999999999E-2</v>
      </c>
      <c r="F38" s="78">
        <v>1.6250000000000001E-2</v>
      </c>
      <c r="G38" s="24" t="s">
        <v>40</v>
      </c>
      <c r="H38" s="25" t="s">
        <v>56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  <c r="XEX38" s="2"/>
      <c r="XEY38" s="2"/>
      <c r="XEZ38" s="2"/>
      <c r="XFA38" s="2"/>
      <c r="XFB38" s="2"/>
      <c r="XFC38" s="2"/>
      <c r="XFD38" s="2"/>
    </row>
    <row r="39" spans="1:16384" ht="26.25" thickBot="1">
      <c r="A39" s="2"/>
      <c r="B39" s="2"/>
      <c r="C39" s="79" t="s">
        <v>120</v>
      </c>
      <c r="D39" s="80" t="s">
        <v>119</v>
      </c>
      <c r="E39" s="81" t="s">
        <v>88</v>
      </c>
      <c r="F39" s="57" t="s">
        <v>94</v>
      </c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  <c r="WTI39" s="2"/>
      <c r="WTJ39" s="2"/>
      <c r="WTK39" s="2"/>
      <c r="WTL39" s="2"/>
      <c r="WTM39" s="2"/>
      <c r="WTN39" s="2"/>
      <c r="WTO39" s="2"/>
      <c r="WTP39" s="2"/>
      <c r="WTQ39" s="2"/>
      <c r="WTR39" s="2"/>
      <c r="WTS39" s="2"/>
      <c r="WTT39" s="2"/>
      <c r="WTU39" s="2"/>
      <c r="WTV39" s="2"/>
      <c r="WTW39" s="2"/>
      <c r="WTX39" s="2"/>
      <c r="WTY39" s="2"/>
      <c r="WTZ39" s="2"/>
      <c r="WUA39" s="2"/>
      <c r="WUB39" s="2"/>
      <c r="WUC39" s="2"/>
      <c r="WUD39" s="2"/>
      <c r="WUE39" s="2"/>
      <c r="WUF39" s="2"/>
      <c r="WUG39" s="2"/>
      <c r="WUH39" s="2"/>
      <c r="WUI39" s="2"/>
      <c r="WUJ39" s="2"/>
      <c r="WUK39" s="2"/>
      <c r="WUL39" s="2"/>
      <c r="WUM39" s="2"/>
      <c r="WUN39" s="2"/>
      <c r="WUO39" s="2"/>
      <c r="WUP39" s="2"/>
      <c r="WUQ39" s="2"/>
      <c r="WUR39" s="2"/>
      <c r="WUS39" s="2"/>
      <c r="WUT39" s="2"/>
      <c r="WUU39" s="2"/>
      <c r="WUV39" s="2"/>
      <c r="WUW39" s="2"/>
      <c r="WUX39" s="2"/>
      <c r="WUY39" s="2"/>
      <c r="WUZ39" s="2"/>
      <c r="WVA39" s="2"/>
      <c r="WVB39" s="2"/>
      <c r="WVC39" s="2"/>
      <c r="WVD39" s="2"/>
      <c r="WVE39" s="2"/>
      <c r="WVF39" s="2"/>
      <c r="WVG39" s="2"/>
      <c r="WVH39" s="2"/>
      <c r="WVI39" s="2"/>
      <c r="WVJ39" s="2"/>
      <c r="WVK39" s="2"/>
      <c r="WVL39" s="2"/>
      <c r="WVM39" s="2"/>
      <c r="WVN39" s="2"/>
      <c r="WVO39" s="2"/>
      <c r="WVP39" s="2"/>
      <c r="WVQ39" s="2"/>
      <c r="WVR39" s="2"/>
      <c r="WVS39" s="2"/>
      <c r="WVT39" s="2"/>
      <c r="WVU39" s="2"/>
      <c r="WVV39" s="2"/>
      <c r="WVW39" s="2"/>
      <c r="WVX39" s="2"/>
      <c r="WVY39" s="2"/>
      <c r="WVZ39" s="2"/>
      <c r="WWA39" s="2"/>
      <c r="WWB39" s="2"/>
      <c r="WWC39" s="2"/>
      <c r="WWD39" s="2"/>
      <c r="WWE39" s="2"/>
      <c r="WWF39" s="2"/>
      <c r="WWG39" s="2"/>
      <c r="WWH39" s="2"/>
      <c r="WWI39" s="2"/>
      <c r="WWJ39" s="2"/>
      <c r="WWK39" s="2"/>
      <c r="WWL39" s="2"/>
      <c r="WWM39" s="2"/>
      <c r="WWN39" s="2"/>
      <c r="WWO39" s="2"/>
      <c r="WWP39" s="2"/>
      <c r="WWQ39" s="2"/>
      <c r="WWR39" s="2"/>
      <c r="WWS39" s="2"/>
      <c r="WWT39" s="2"/>
      <c r="WWU39" s="2"/>
      <c r="WWV39" s="2"/>
      <c r="WWW39" s="2"/>
      <c r="WWX39" s="2"/>
      <c r="WWY39" s="2"/>
      <c r="WWZ39" s="2"/>
      <c r="WXA39" s="2"/>
      <c r="WXB39" s="2"/>
      <c r="WXC39" s="2"/>
      <c r="WXD39" s="2"/>
      <c r="WXE39" s="2"/>
      <c r="WXF39" s="2"/>
      <c r="WXG39" s="2"/>
      <c r="WXH39" s="2"/>
      <c r="WXI39" s="2"/>
      <c r="WXJ39" s="2"/>
      <c r="WXK39" s="2"/>
      <c r="WXL39" s="2"/>
      <c r="WXM39" s="2"/>
      <c r="WXN39" s="2"/>
      <c r="WXO39" s="2"/>
      <c r="WXP39" s="2"/>
      <c r="WXQ39" s="2"/>
      <c r="WXR39" s="2"/>
      <c r="WXS39" s="2"/>
      <c r="WXT39" s="2"/>
      <c r="WXU39" s="2"/>
      <c r="WXV39" s="2"/>
      <c r="WXW39" s="2"/>
      <c r="WXX39" s="2"/>
      <c r="WXY39" s="2"/>
      <c r="WXZ39" s="2"/>
      <c r="WYA39" s="2"/>
      <c r="WYB39" s="2"/>
      <c r="WYC39" s="2"/>
      <c r="WYD39" s="2"/>
      <c r="WYE39" s="2"/>
      <c r="WYF39" s="2"/>
      <c r="WYG39" s="2"/>
      <c r="WYH39" s="2"/>
      <c r="WYI39" s="2"/>
      <c r="WYJ39" s="2"/>
      <c r="WYK39" s="2"/>
      <c r="WYL39" s="2"/>
      <c r="WYM39" s="2"/>
      <c r="WYN39" s="2"/>
      <c r="WYO39" s="2"/>
      <c r="WYP39" s="2"/>
      <c r="WYQ39" s="2"/>
      <c r="WYR39" s="2"/>
      <c r="WYS39" s="2"/>
      <c r="WYT39" s="2"/>
      <c r="WYU39" s="2"/>
      <c r="WYV39" s="2"/>
      <c r="WYW39" s="2"/>
      <c r="WYX39" s="2"/>
      <c r="WYY39" s="2"/>
      <c r="WYZ39" s="2"/>
      <c r="WZA39" s="2"/>
      <c r="WZB39" s="2"/>
      <c r="WZC39" s="2"/>
      <c r="WZD39" s="2"/>
      <c r="WZE39" s="2"/>
      <c r="WZF39" s="2"/>
      <c r="WZG39" s="2"/>
      <c r="WZH39" s="2"/>
      <c r="WZI39" s="2"/>
      <c r="WZJ39" s="2"/>
      <c r="WZK39" s="2"/>
      <c r="WZL39" s="2"/>
      <c r="WZM39" s="2"/>
      <c r="WZN39" s="2"/>
      <c r="WZO39" s="2"/>
      <c r="WZP39" s="2"/>
      <c r="WZQ39" s="2"/>
      <c r="WZR39" s="2"/>
      <c r="WZS39" s="2"/>
      <c r="WZT39" s="2"/>
      <c r="WZU39" s="2"/>
      <c r="WZV39" s="2"/>
      <c r="WZW39" s="2"/>
      <c r="WZX39" s="2"/>
      <c r="WZY39" s="2"/>
      <c r="WZZ39" s="2"/>
      <c r="XAA39" s="2"/>
      <c r="XAB39" s="2"/>
      <c r="XAC39" s="2"/>
      <c r="XAD39" s="2"/>
      <c r="XAE39" s="2"/>
      <c r="XAF39" s="2"/>
      <c r="XAG39" s="2"/>
      <c r="XAH39" s="2"/>
      <c r="XAI39" s="2"/>
      <c r="XAJ39" s="2"/>
      <c r="XAK39" s="2"/>
      <c r="XAL39" s="2"/>
      <c r="XAM39" s="2"/>
      <c r="XAN39" s="2"/>
      <c r="XAO39" s="2"/>
      <c r="XAP39" s="2"/>
      <c r="XAQ39" s="2"/>
      <c r="XAR39" s="2"/>
      <c r="XAS39" s="2"/>
      <c r="XAT39" s="2"/>
      <c r="XAU39" s="2"/>
      <c r="XAV39" s="2"/>
      <c r="XAW39" s="2"/>
      <c r="XAX39" s="2"/>
      <c r="XAY39" s="2"/>
      <c r="XAZ39" s="2"/>
      <c r="XBA39" s="2"/>
      <c r="XBB39" s="2"/>
      <c r="XBC39" s="2"/>
      <c r="XBD39" s="2"/>
      <c r="XBE39" s="2"/>
      <c r="XBF39" s="2"/>
      <c r="XBG39" s="2"/>
      <c r="XBH39" s="2"/>
      <c r="XBI39" s="2"/>
      <c r="XBJ39" s="2"/>
      <c r="XBK39" s="2"/>
      <c r="XBL39" s="2"/>
      <c r="XBM39" s="2"/>
      <c r="XBN39" s="2"/>
      <c r="XBO39" s="2"/>
      <c r="XBP39" s="2"/>
      <c r="XBQ39" s="2"/>
      <c r="XBR39" s="2"/>
      <c r="XBS39" s="2"/>
      <c r="XBT39" s="2"/>
      <c r="XBU39" s="2"/>
      <c r="XBV39" s="2"/>
      <c r="XBW39" s="2"/>
      <c r="XBX39" s="2"/>
      <c r="XBY39" s="2"/>
      <c r="XBZ39" s="2"/>
      <c r="XCA39" s="2"/>
      <c r="XCB39" s="2"/>
      <c r="XCC39" s="2"/>
      <c r="XCD39" s="2"/>
      <c r="XCE39" s="2"/>
      <c r="XCF39" s="2"/>
      <c r="XCG39" s="2"/>
      <c r="XCH39" s="2"/>
      <c r="XCI39" s="2"/>
      <c r="XCJ39" s="2"/>
      <c r="XCK39" s="2"/>
      <c r="XCL39" s="2"/>
      <c r="XCM39" s="2"/>
      <c r="XCN39" s="2"/>
      <c r="XCO39" s="2"/>
      <c r="XCP39" s="2"/>
      <c r="XCQ39" s="2"/>
      <c r="XCR39" s="2"/>
      <c r="XCS39" s="2"/>
      <c r="XCT39" s="2"/>
      <c r="XCU39" s="2"/>
      <c r="XCV39" s="2"/>
      <c r="XCW39" s="2"/>
      <c r="XCX39" s="2"/>
      <c r="XCY39" s="2"/>
      <c r="XCZ39" s="2"/>
      <c r="XDA39" s="2"/>
      <c r="XDB39" s="2"/>
      <c r="XDC39" s="2"/>
      <c r="XDD39" s="2"/>
      <c r="XDE39" s="2"/>
      <c r="XDF39" s="2"/>
      <c r="XDG39" s="2"/>
      <c r="XDH39" s="2"/>
      <c r="XDI39" s="2"/>
      <c r="XDJ39" s="2"/>
      <c r="XDK39" s="2"/>
      <c r="XDL39" s="2"/>
      <c r="XDM39" s="2"/>
      <c r="XDN39" s="2"/>
      <c r="XDO39" s="2"/>
      <c r="XDP39" s="2"/>
      <c r="XDQ39" s="2"/>
      <c r="XDR39" s="2"/>
      <c r="XDS39" s="2"/>
      <c r="XDT39" s="2"/>
      <c r="XDU39" s="2"/>
      <c r="XDV39" s="2"/>
      <c r="XDW39" s="2"/>
      <c r="XDX39" s="2"/>
      <c r="XDY39" s="2"/>
      <c r="XDZ39" s="2"/>
      <c r="XEA39" s="2"/>
      <c r="XEB39" s="2"/>
      <c r="XEC39" s="2"/>
      <c r="XED39" s="2"/>
      <c r="XEE39" s="2"/>
      <c r="XEF39" s="2"/>
      <c r="XEG39" s="2"/>
      <c r="XEH39" s="2"/>
      <c r="XEI39" s="2"/>
      <c r="XEJ39" s="2"/>
      <c r="XEK39" s="2"/>
      <c r="XEL39" s="2"/>
      <c r="XEM39" s="2"/>
      <c r="XEN39" s="2"/>
      <c r="XEO39" s="2"/>
      <c r="XEP39" s="2"/>
      <c r="XEQ39" s="2"/>
      <c r="XER39" s="2"/>
      <c r="XES39" s="2"/>
      <c r="XET39" s="2"/>
      <c r="XEU39" s="2"/>
      <c r="XEV39" s="2"/>
      <c r="XEW39" s="2"/>
      <c r="XEX39" s="2"/>
      <c r="XEY39" s="2"/>
      <c r="XEZ39" s="2"/>
      <c r="XFA39" s="2"/>
      <c r="XFB39" s="2"/>
      <c r="XFC39" s="2"/>
      <c r="XFD39" s="2"/>
    </row>
    <row r="40" spans="1:16384">
      <c r="A40" s="2"/>
      <c r="B40" s="2"/>
      <c r="C40" s="82">
        <v>2018</v>
      </c>
      <c r="D40" s="83">
        <v>36.5</v>
      </c>
      <c r="E40" s="84">
        <v>65.5</v>
      </c>
      <c r="F40" s="85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  <c r="XEX40" s="2"/>
      <c r="XEY40" s="2"/>
      <c r="XEZ40" s="2"/>
      <c r="XFA40" s="2"/>
      <c r="XFB40" s="2"/>
      <c r="XFC40" s="2"/>
      <c r="XFD40" s="2"/>
    </row>
    <row r="41" spans="1:16384">
      <c r="C41" s="86">
        <v>2019</v>
      </c>
      <c r="D41" s="87">
        <v>36.75</v>
      </c>
      <c r="E41" s="88">
        <v>65.666600000000003</v>
      </c>
      <c r="F41" s="89">
        <f>F40*POWER($H$14/$I$14,1/5)</f>
        <v>0.99422774966142702</v>
      </c>
    </row>
    <row r="42" spans="1:16384">
      <c r="C42" s="86">
        <v>2020</v>
      </c>
      <c r="D42" s="87">
        <v>37</v>
      </c>
      <c r="E42" s="88">
        <v>65.833299999999994</v>
      </c>
      <c r="F42" s="89">
        <f t="shared" ref="F42:F45" si="0">F41*POWER($H$14/$I$14,1/5)</f>
        <v>0.98848881819682521</v>
      </c>
    </row>
    <row r="43" spans="1:16384">
      <c r="C43" s="86">
        <v>2021</v>
      </c>
      <c r="D43" s="87">
        <v>37.25</v>
      </c>
      <c r="E43" s="88">
        <v>66</v>
      </c>
      <c r="F43" s="89">
        <f t="shared" si="0"/>
        <v>0.98278301328131301</v>
      </c>
    </row>
    <row r="44" spans="1:16384">
      <c r="A44" s="90"/>
      <c r="C44" s="86">
        <v>2022</v>
      </c>
      <c r="D44" s="87">
        <v>37.5</v>
      </c>
      <c r="E44" s="88">
        <v>66.166600000000003</v>
      </c>
      <c r="F44" s="89">
        <f t="shared" si="0"/>
        <v>0.97711014370015614</v>
      </c>
    </row>
    <row r="45" spans="1:16384">
      <c r="A45" s="90"/>
      <c r="C45" s="86">
        <v>2023</v>
      </c>
      <c r="D45" s="87">
        <v>37.75</v>
      </c>
      <c r="E45" s="88">
        <v>66.333299999999994</v>
      </c>
      <c r="F45" s="89">
        <f t="shared" si="0"/>
        <v>0.97147001934235977</v>
      </c>
    </row>
    <row r="46" spans="1:16384">
      <c r="C46" s="86">
        <v>2024</v>
      </c>
      <c r="D46" s="87">
        <v>38</v>
      </c>
      <c r="E46" s="88">
        <v>66.5</v>
      </c>
      <c r="F46" s="89">
        <f>F45*POWER($I$14/$J$14,1/5)</f>
        <v>0.96586245119429737</v>
      </c>
    </row>
    <row r="47" spans="1:16384">
      <c r="C47" s="86">
        <v>2025</v>
      </c>
      <c r="D47" s="87">
        <v>38.25</v>
      </c>
      <c r="E47" s="88">
        <v>66.666600000000003</v>
      </c>
      <c r="F47" s="89">
        <f t="shared" ref="F47:F49" si="1">F46*POWER($I$14/$J$14,1/5)</f>
        <v>0.96028725133337611</v>
      </c>
    </row>
    <row r="48" spans="1:16384">
      <c r="C48" s="86">
        <v>2026</v>
      </c>
      <c r="D48" s="87">
        <v>38.25</v>
      </c>
      <c r="E48" s="88">
        <v>66.833299999999994</v>
      </c>
      <c r="F48" s="89">
        <f t="shared" si="1"/>
        <v>0.95474423292173971</v>
      </c>
    </row>
    <row r="49" spans="1:18" ht="15.75" thickBot="1">
      <c r="C49" s="91">
        <v>2027</v>
      </c>
      <c r="D49" s="92">
        <v>38.5</v>
      </c>
      <c r="E49" s="93">
        <v>67</v>
      </c>
      <c r="F49" s="94">
        <f t="shared" si="1"/>
        <v>0.94923321020000662</v>
      </c>
      <c r="M49" s="95"/>
    </row>
    <row r="50" spans="1:18">
      <c r="N50" s="96"/>
      <c r="O50" s="96"/>
    </row>
    <row r="51" spans="1:18" ht="15.75" hidden="1" thickBot="1">
      <c r="A51" s="38" t="s">
        <v>44</v>
      </c>
      <c r="B51" s="38" t="s">
        <v>44</v>
      </c>
      <c r="C51" s="38" t="s">
        <v>42</v>
      </c>
      <c r="D51" s="38" t="s">
        <v>99</v>
      </c>
      <c r="E51" s="38" t="s">
        <v>46</v>
      </c>
      <c r="F51" s="38" t="s">
        <v>103</v>
      </c>
      <c r="G51" s="38" t="s">
        <v>87</v>
      </c>
      <c r="H51" s="38" t="s">
        <v>100</v>
      </c>
      <c r="I51" s="38" t="s">
        <v>47</v>
      </c>
      <c r="J51" s="38" t="s">
        <v>121</v>
      </c>
      <c r="K51" s="38" t="s">
        <v>43</v>
      </c>
      <c r="L51" s="38" t="s">
        <v>51</v>
      </c>
      <c r="M51" s="38" t="s">
        <v>48</v>
      </c>
      <c r="N51" s="38" t="s">
        <v>50</v>
      </c>
      <c r="O51" s="38" t="s">
        <v>49</v>
      </c>
      <c r="P51" s="38" t="s">
        <v>42</v>
      </c>
      <c r="Q51" s="38" t="s">
        <v>101</v>
      </c>
      <c r="R51" s="38" t="s">
        <v>104</v>
      </c>
    </row>
    <row r="52" spans="1:18" hidden="1">
      <c r="A52" s="38">
        <f>YEAR($B$12)</f>
        <v>2018</v>
      </c>
      <c r="B52" s="38">
        <v>2018</v>
      </c>
      <c r="C52" s="38">
        <v>36.5</v>
      </c>
      <c r="D52" s="97">
        <v>65.5</v>
      </c>
      <c r="E52" s="98">
        <f>2573.7*1.0025</f>
        <v>2580.1342499999996</v>
      </c>
      <c r="F52" s="85">
        <v>1</v>
      </c>
      <c r="G52" s="99">
        <f>$E$14</f>
        <v>33.799999999999997</v>
      </c>
      <c r="H52" s="97">
        <f t="shared" ref="H52:H62" si="2">VLOOKUP(A52,$B$52:$C$61,2)</f>
        <v>36.5</v>
      </c>
      <c r="I52" s="38">
        <f t="shared" ref="I52:I62" si="3">VLOOKUP(A52,$B$52:$D$61,3)</f>
        <v>65.5</v>
      </c>
      <c r="J52" s="96">
        <f>$B$13</f>
        <v>63.247091033538673</v>
      </c>
      <c r="K52" s="38">
        <f>IF(AND(G52&gt;H52,65&gt;=J52),65,I52)</f>
        <v>65.5</v>
      </c>
      <c r="L52" s="38">
        <f t="shared" ref="L52:L62" si="4">YEAR($C$12+(K52-$B$13)*365.25)</f>
        <v>2020</v>
      </c>
      <c r="M52" s="100">
        <f t="shared" ref="M52:M62" si="5">VLOOKUP(A52,$B$52:$E$61,4)</f>
        <v>2580.1342499999996</v>
      </c>
      <c r="N52" s="96">
        <f>K52-$B$13</f>
        <v>2.2529089664613267</v>
      </c>
      <c r="O52" s="38">
        <f>IF(INT(N52*4)&lt;0,0,INT(N52*4))</f>
        <v>9</v>
      </c>
      <c r="P52" s="96">
        <f t="shared" ref="P52:P62" si="6">IF(N52&gt;0,G52,G52+N52)</f>
        <v>33.799999999999997</v>
      </c>
      <c r="Q52" s="38">
        <f t="shared" ref="Q52:Q62" si="7">IF(AND(38.5&gt;P52,P52&gt;=33),1,IF(AND(41.5&gt;P52,P52&gt;=38.5),2,IF(AND(44.5&gt;P52,P52&gt;=41.5),3,IF(P52&gt;=44.5,4,0))))</f>
        <v>1</v>
      </c>
      <c r="R52" s="101">
        <f t="shared" ref="R52:R62" si="8">VLOOKUP(A52,$B$52:$F$61,5)</f>
        <v>1</v>
      </c>
    </row>
    <row r="53" spans="1:18" hidden="1">
      <c r="A53" s="102">
        <f>YEAR($C$12+91.25*1)</f>
        <v>2018</v>
      </c>
      <c r="B53" s="38">
        <v>2019</v>
      </c>
      <c r="C53" s="38">
        <v>36.75</v>
      </c>
      <c r="D53" s="97">
        <v>65.666600000000003</v>
      </c>
      <c r="E53" s="98">
        <f>E52*1.0025</f>
        <v>2586.5845856249994</v>
      </c>
      <c r="F53" s="89">
        <f>F52*POWER($H$14/$I$14,1/5)</f>
        <v>0.99422774966142702</v>
      </c>
      <c r="G53" s="99">
        <f>$E$14+0.25*1</f>
        <v>34.049999999999997</v>
      </c>
      <c r="H53" s="97">
        <f t="shared" si="2"/>
        <v>36.5</v>
      </c>
      <c r="I53" s="38">
        <f t="shared" si="3"/>
        <v>65.5</v>
      </c>
      <c r="J53" s="96">
        <f>$B$13+0.25*1</f>
        <v>63.497091033538673</v>
      </c>
      <c r="K53" s="38">
        <f t="shared" ref="K53:K61" si="9">IF(AND(G53&gt;H53,65&gt;=J53),65,IF(J53&gt;=K52,K52,I53))</f>
        <v>65.5</v>
      </c>
      <c r="L53" s="38">
        <f t="shared" si="4"/>
        <v>2020</v>
      </c>
      <c r="M53" s="100">
        <f t="shared" si="5"/>
        <v>2580.1342499999996</v>
      </c>
      <c r="N53" s="96">
        <f>K53-($B$13+0.25*1)</f>
        <v>2.0029089664613267</v>
      </c>
      <c r="O53" s="38">
        <f t="shared" ref="O53:O61" si="10">IF(INT(N53*4)&lt;0,0,INT(N53*4))</f>
        <v>8</v>
      </c>
      <c r="P53" s="96">
        <f t="shared" si="6"/>
        <v>34.049999999999997</v>
      </c>
      <c r="Q53" s="38">
        <f t="shared" si="7"/>
        <v>1</v>
      </c>
      <c r="R53" s="101">
        <f t="shared" si="8"/>
        <v>1</v>
      </c>
    </row>
    <row r="54" spans="1:18" hidden="1">
      <c r="A54" s="102">
        <f>YEAR($C$12+91.25*2)</f>
        <v>2018</v>
      </c>
      <c r="B54" s="38">
        <v>2020</v>
      </c>
      <c r="C54" s="38">
        <v>37</v>
      </c>
      <c r="D54" s="97">
        <v>65.833299999999994</v>
      </c>
      <c r="E54" s="98">
        <f t="shared" ref="E54:E61" si="11">E53*1.0025</f>
        <v>2593.0510470890617</v>
      </c>
      <c r="F54" s="89">
        <f t="shared" ref="F54:F57" si="12">F53*POWER($H$14/$I$14,1/5)</f>
        <v>0.98848881819682521</v>
      </c>
      <c r="G54" s="99">
        <f>$E$14+0.25*2</f>
        <v>34.299999999999997</v>
      </c>
      <c r="H54" s="97">
        <f t="shared" si="2"/>
        <v>36.5</v>
      </c>
      <c r="I54" s="38">
        <f t="shared" si="3"/>
        <v>65.5</v>
      </c>
      <c r="J54" s="96">
        <f>$B$13+0.25*2</f>
        <v>63.747091033538673</v>
      </c>
      <c r="K54" s="38">
        <f t="shared" si="9"/>
        <v>65.5</v>
      </c>
      <c r="L54" s="38">
        <f t="shared" si="4"/>
        <v>2020</v>
      </c>
      <c r="M54" s="100">
        <f t="shared" si="5"/>
        <v>2580.1342499999996</v>
      </c>
      <c r="N54" s="96">
        <f>K54-($B$13+0.25*2)</f>
        <v>1.7529089664613267</v>
      </c>
      <c r="O54" s="38">
        <f t="shared" si="10"/>
        <v>7</v>
      </c>
      <c r="P54" s="96">
        <f t="shared" si="6"/>
        <v>34.299999999999997</v>
      </c>
      <c r="Q54" s="38">
        <f t="shared" si="7"/>
        <v>1</v>
      </c>
      <c r="R54" s="101">
        <f t="shared" si="8"/>
        <v>1</v>
      </c>
    </row>
    <row r="55" spans="1:18" hidden="1">
      <c r="A55" s="102">
        <f>YEAR($C$12+91.25*3)</f>
        <v>2019</v>
      </c>
      <c r="B55" s="38">
        <v>2021</v>
      </c>
      <c r="C55" s="38">
        <v>37.25</v>
      </c>
      <c r="D55" s="97">
        <v>66</v>
      </c>
      <c r="E55" s="98">
        <f t="shared" si="11"/>
        <v>2599.533674706784</v>
      </c>
      <c r="F55" s="89">
        <f>F54*POWER($H$14/$I$14,1/5)</f>
        <v>0.98278301328131301</v>
      </c>
      <c r="G55" s="99">
        <f>$E$14+0.25*3</f>
        <v>34.549999999999997</v>
      </c>
      <c r="H55" s="97">
        <f t="shared" si="2"/>
        <v>36.75</v>
      </c>
      <c r="I55" s="38">
        <f t="shared" si="3"/>
        <v>65.666600000000003</v>
      </c>
      <c r="J55" s="96">
        <f>$B$13+0.25*3</f>
        <v>63.997091033538673</v>
      </c>
      <c r="K55" s="38">
        <f t="shared" si="9"/>
        <v>65.666600000000003</v>
      </c>
      <c r="L55" s="38">
        <f t="shared" si="4"/>
        <v>2020</v>
      </c>
      <c r="M55" s="100">
        <f t="shared" si="5"/>
        <v>2586.5845856249994</v>
      </c>
      <c r="N55" s="96">
        <f>K55-($B$13+0.25*3)</f>
        <v>1.6695089664613292</v>
      </c>
      <c r="O55" s="38">
        <f t="shared" si="10"/>
        <v>6</v>
      </c>
      <c r="P55" s="96">
        <f t="shared" si="6"/>
        <v>34.549999999999997</v>
      </c>
      <c r="Q55" s="38">
        <f t="shared" si="7"/>
        <v>1</v>
      </c>
      <c r="R55" s="101">
        <f t="shared" si="8"/>
        <v>0.99422774966142702</v>
      </c>
    </row>
    <row r="56" spans="1:18" hidden="1">
      <c r="A56" s="102">
        <f>YEAR($C$12+91.25*4)</f>
        <v>2019</v>
      </c>
      <c r="B56" s="38">
        <v>2022</v>
      </c>
      <c r="C56" s="38">
        <v>37.5</v>
      </c>
      <c r="D56" s="97">
        <v>66.166600000000003</v>
      </c>
      <c r="E56" s="98">
        <f t="shared" si="11"/>
        <v>2606.032508893551</v>
      </c>
      <c r="F56" s="89">
        <f t="shared" si="12"/>
        <v>0.97711014370015614</v>
      </c>
      <c r="G56" s="99">
        <f>$E$14+0.25*4</f>
        <v>34.799999999999997</v>
      </c>
      <c r="H56" s="97">
        <f t="shared" si="2"/>
        <v>36.75</v>
      </c>
      <c r="I56" s="38">
        <f t="shared" si="3"/>
        <v>65.666600000000003</v>
      </c>
      <c r="J56" s="96">
        <f>$B$13+0.25*4</f>
        <v>64.24709103353868</v>
      </c>
      <c r="K56" s="38">
        <f t="shared" si="9"/>
        <v>65.666600000000003</v>
      </c>
      <c r="L56" s="38">
        <f t="shared" si="4"/>
        <v>2020</v>
      </c>
      <c r="M56" s="100">
        <f t="shared" si="5"/>
        <v>2586.5845856249994</v>
      </c>
      <c r="N56" s="96">
        <f>K56-($B$13+0.25*4)</f>
        <v>1.4195089664613221</v>
      </c>
      <c r="O56" s="38">
        <f t="shared" si="10"/>
        <v>5</v>
      </c>
      <c r="P56" s="96">
        <f t="shared" si="6"/>
        <v>34.799999999999997</v>
      </c>
      <c r="Q56" s="38">
        <f t="shared" si="7"/>
        <v>1</v>
      </c>
      <c r="R56" s="101">
        <f t="shared" si="8"/>
        <v>0.99422774966142702</v>
      </c>
    </row>
    <row r="57" spans="1:18" hidden="1">
      <c r="A57" s="102">
        <f>YEAR($C$12+91.25*5)</f>
        <v>2019</v>
      </c>
      <c r="B57" s="38">
        <v>2023</v>
      </c>
      <c r="C57" s="38">
        <v>37.75</v>
      </c>
      <c r="D57" s="97">
        <v>66.333299999999994</v>
      </c>
      <c r="E57" s="98">
        <f t="shared" si="11"/>
        <v>2612.5475901657846</v>
      </c>
      <c r="F57" s="89">
        <f t="shared" si="12"/>
        <v>0.97147001934235977</v>
      </c>
      <c r="G57" s="99">
        <f>$E$14+0.25*5</f>
        <v>35.049999999999997</v>
      </c>
      <c r="H57" s="97">
        <f t="shared" si="2"/>
        <v>36.75</v>
      </c>
      <c r="I57" s="38">
        <f t="shared" si="3"/>
        <v>65.666600000000003</v>
      </c>
      <c r="J57" s="96">
        <f>$B$13+0.25*5</f>
        <v>64.49709103353868</v>
      </c>
      <c r="K57" s="38">
        <f t="shared" si="9"/>
        <v>65.666600000000003</v>
      </c>
      <c r="L57" s="38">
        <f t="shared" si="4"/>
        <v>2020</v>
      </c>
      <c r="M57" s="100">
        <f t="shared" si="5"/>
        <v>2586.5845856249994</v>
      </c>
      <c r="N57" s="96">
        <f>K57-($B$13+0.25*5)</f>
        <v>1.1695089664613221</v>
      </c>
      <c r="O57" s="38">
        <f t="shared" si="10"/>
        <v>4</v>
      </c>
      <c r="P57" s="96">
        <f t="shared" si="6"/>
        <v>35.049999999999997</v>
      </c>
      <c r="Q57" s="38">
        <f t="shared" si="7"/>
        <v>1</v>
      </c>
      <c r="R57" s="101">
        <f t="shared" si="8"/>
        <v>0.99422774966142702</v>
      </c>
    </row>
    <row r="58" spans="1:18" hidden="1">
      <c r="A58" s="102">
        <f>YEAR($C$12+91.25*6)</f>
        <v>2019</v>
      </c>
      <c r="B58" s="38">
        <v>2024</v>
      </c>
      <c r="C58" s="38">
        <v>38</v>
      </c>
      <c r="D58" s="97">
        <v>66.5</v>
      </c>
      <c r="E58" s="98">
        <f t="shared" si="11"/>
        <v>2619.078959141199</v>
      </c>
      <c r="F58" s="89">
        <f>F57*POWER($I$14/$J$14,1/5)</f>
        <v>0.96586245119429737</v>
      </c>
      <c r="G58" s="99">
        <f>$E$14+0.25*6</f>
        <v>35.299999999999997</v>
      </c>
      <c r="H58" s="97">
        <f t="shared" si="2"/>
        <v>36.75</v>
      </c>
      <c r="I58" s="38">
        <f t="shared" si="3"/>
        <v>65.666600000000003</v>
      </c>
      <c r="J58" s="96">
        <f>$B$13+0.25*6</f>
        <v>64.74709103353868</v>
      </c>
      <c r="K58" s="38">
        <f t="shared" si="9"/>
        <v>65.666600000000003</v>
      </c>
      <c r="L58" s="38">
        <f t="shared" si="4"/>
        <v>2020</v>
      </c>
      <c r="M58" s="100">
        <f t="shared" si="5"/>
        <v>2586.5845856249994</v>
      </c>
      <c r="N58" s="96">
        <f>K58-($B$13+0.25*6)</f>
        <v>0.91950896646132207</v>
      </c>
      <c r="O58" s="38">
        <f t="shared" si="10"/>
        <v>3</v>
      </c>
      <c r="P58" s="96">
        <f t="shared" si="6"/>
        <v>35.299999999999997</v>
      </c>
      <c r="Q58" s="38">
        <f t="shared" si="7"/>
        <v>1</v>
      </c>
      <c r="R58" s="101">
        <f t="shared" si="8"/>
        <v>0.99422774966142702</v>
      </c>
    </row>
    <row r="59" spans="1:18" hidden="1">
      <c r="A59" s="102">
        <f>YEAR($C$12+91.25*7)</f>
        <v>2020</v>
      </c>
      <c r="B59" s="38">
        <v>2025</v>
      </c>
      <c r="C59" s="38">
        <v>38.25</v>
      </c>
      <c r="D59" s="97">
        <v>66.666600000000003</v>
      </c>
      <c r="E59" s="98">
        <f t="shared" si="11"/>
        <v>2625.626656539052</v>
      </c>
      <c r="F59" s="89">
        <f t="shared" ref="F59:F61" si="13">F58*POWER($I$14/$J$14,1/5)</f>
        <v>0.96028725133337611</v>
      </c>
      <c r="G59" s="99">
        <f>$E$14+0.25*7</f>
        <v>35.549999999999997</v>
      </c>
      <c r="H59" s="97">
        <f t="shared" si="2"/>
        <v>37</v>
      </c>
      <c r="I59" s="38">
        <f t="shared" si="3"/>
        <v>65.833299999999994</v>
      </c>
      <c r="J59" s="96">
        <f>$B$13+0.25*7</f>
        <v>64.99709103353868</v>
      </c>
      <c r="K59" s="38">
        <f t="shared" si="9"/>
        <v>65.833299999999994</v>
      </c>
      <c r="L59" s="38">
        <f t="shared" si="4"/>
        <v>2020</v>
      </c>
      <c r="M59" s="100">
        <f t="shared" si="5"/>
        <v>2593.0510470890617</v>
      </c>
      <c r="N59" s="96">
        <f>K59-($B$13+0.25*7)</f>
        <v>0.83620896646131371</v>
      </c>
      <c r="O59" s="38">
        <f t="shared" si="10"/>
        <v>3</v>
      </c>
      <c r="P59" s="96">
        <f t="shared" si="6"/>
        <v>35.549999999999997</v>
      </c>
      <c r="Q59" s="38">
        <f t="shared" si="7"/>
        <v>1</v>
      </c>
      <c r="R59" s="101">
        <f t="shared" si="8"/>
        <v>0.98848881819682521</v>
      </c>
    </row>
    <row r="60" spans="1:18" hidden="1">
      <c r="A60" s="102">
        <f>YEAR($C$12+91.25*8)</f>
        <v>2020</v>
      </c>
      <c r="B60" s="38">
        <v>2026</v>
      </c>
      <c r="C60" s="38">
        <v>38.25</v>
      </c>
      <c r="D60" s="97">
        <v>66.833299999999994</v>
      </c>
      <c r="E60" s="98">
        <f t="shared" si="11"/>
        <v>2632.1907231803993</v>
      </c>
      <c r="F60" s="89">
        <f t="shared" si="13"/>
        <v>0.95474423292173971</v>
      </c>
      <c r="G60" s="99">
        <f>$E$14+0.25*8</f>
        <v>35.799999999999997</v>
      </c>
      <c r="H60" s="97">
        <f t="shared" si="2"/>
        <v>37</v>
      </c>
      <c r="I60" s="38">
        <f t="shared" si="3"/>
        <v>65.833299999999994</v>
      </c>
      <c r="J60" s="96">
        <f>$B$13+0.25*8</f>
        <v>65.24709103353868</v>
      </c>
      <c r="K60" s="38">
        <f t="shared" si="9"/>
        <v>65.833299999999994</v>
      </c>
      <c r="L60" s="38">
        <f t="shared" si="4"/>
        <v>2020</v>
      </c>
      <c r="M60" s="100">
        <f t="shared" si="5"/>
        <v>2593.0510470890617</v>
      </c>
      <c r="N60" s="96">
        <f>K60-($B$13+0.25*8)</f>
        <v>0.58620896646131371</v>
      </c>
      <c r="O60" s="38">
        <f t="shared" si="10"/>
        <v>2</v>
      </c>
      <c r="P60" s="96">
        <f t="shared" si="6"/>
        <v>35.799999999999997</v>
      </c>
      <c r="Q60" s="38">
        <f t="shared" si="7"/>
        <v>1</v>
      </c>
      <c r="R60" s="101">
        <f t="shared" si="8"/>
        <v>0.98848881819682521</v>
      </c>
    </row>
    <row r="61" spans="1:18" ht="15.75" hidden="1" thickBot="1">
      <c r="A61" s="102">
        <f>YEAR($C$12+91.25*12)</f>
        <v>2021</v>
      </c>
      <c r="B61" s="38">
        <v>2027</v>
      </c>
      <c r="C61" s="38">
        <v>38.5</v>
      </c>
      <c r="D61" s="97">
        <v>67</v>
      </c>
      <c r="E61" s="98">
        <f t="shared" si="11"/>
        <v>2638.7711999883504</v>
      </c>
      <c r="F61" s="94">
        <f t="shared" si="13"/>
        <v>0.94923321020000662</v>
      </c>
      <c r="G61" s="99">
        <f>$E$14+0.25*12</f>
        <v>36.799999999999997</v>
      </c>
      <c r="H61" s="97">
        <f t="shared" si="2"/>
        <v>37.25</v>
      </c>
      <c r="I61" s="38">
        <f t="shared" si="3"/>
        <v>66</v>
      </c>
      <c r="J61" s="96">
        <f>$B$13+0.25*12</f>
        <v>66.24709103353868</v>
      </c>
      <c r="K61" s="38">
        <f t="shared" si="9"/>
        <v>65.833299999999994</v>
      </c>
      <c r="L61" s="38">
        <f t="shared" si="4"/>
        <v>2020</v>
      </c>
      <c r="M61" s="100">
        <f t="shared" si="5"/>
        <v>2599.533674706784</v>
      </c>
      <c r="N61" s="96">
        <f>K61-($B$13+0.25*12)</f>
        <v>-0.41379103353868629</v>
      </c>
      <c r="O61" s="38">
        <f t="shared" si="10"/>
        <v>0</v>
      </c>
      <c r="P61" s="96">
        <f t="shared" si="6"/>
        <v>36.386208966461311</v>
      </c>
      <c r="Q61" s="38">
        <f t="shared" si="7"/>
        <v>1</v>
      </c>
      <c r="R61" s="101">
        <f t="shared" si="8"/>
        <v>0.98278301328131301</v>
      </c>
    </row>
    <row r="62" spans="1:18" hidden="1">
      <c r="A62" s="102">
        <f>YEAR($C$12+91.25*16)</f>
        <v>2022</v>
      </c>
      <c r="G62" s="99">
        <f>$E$14+0.25*16</f>
        <v>37.799999999999997</v>
      </c>
      <c r="H62" s="97">
        <f t="shared" si="2"/>
        <v>37.5</v>
      </c>
      <c r="I62" s="38">
        <f t="shared" si="3"/>
        <v>66.166600000000003</v>
      </c>
      <c r="J62" s="96">
        <f>$B$13+0.25*16</f>
        <v>67.24709103353868</v>
      </c>
      <c r="K62" s="38">
        <f>IF(AND(G62&gt;H62,65&gt;=J62),65,IF(J62&gt;=K61,K61,I62))</f>
        <v>65.833299999999994</v>
      </c>
      <c r="L62" s="38">
        <f t="shared" si="4"/>
        <v>2020</v>
      </c>
      <c r="M62" s="100">
        <f t="shared" si="5"/>
        <v>2606.032508893551</v>
      </c>
      <c r="N62" s="96">
        <f>K62-($B$13+0.25*16)</f>
        <v>-1.4137910335386863</v>
      </c>
      <c r="O62" s="38">
        <f>IF(INT(N62*4)&lt;0,0,INT(N62*4))</f>
        <v>0</v>
      </c>
      <c r="P62" s="96">
        <f t="shared" si="6"/>
        <v>36.386208966461311</v>
      </c>
      <c r="Q62" s="38">
        <f t="shared" si="7"/>
        <v>1</v>
      </c>
      <c r="R62" s="101">
        <f t="shared" si="8"/>
        <v>0.97711014370015614</v>
      </c>
    </row>
    <row r="63" spans="1:18">
      <c r="A63" s="102"/>
    </row>
  </sheetData>
  <sheetProtection password="9862" sheet="1" objects="1" scenarios="1"/>
  <conditionalFormatting sqref="B13:E13 E14">
    <cfRule type="expression" dxfId="41" priority="1">
      <formula>$C$13="No reúne Condiciones para acceder a este tipo de Jubilación Anticipada"</formula>
    </cfRule>
  </conditionalFormatting>
  <hyperlinks>
    <hyperlink ref="F16" r:id="rId1"/>
    <hyperlink ref="A23" location="Antic.C.Ajena!A1" display="Antic.C.Ajena!A1"/>
    <hyperlink ref="A24" location="Antic.Volunt.!A1" display="Antic.Volunt.!A1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80"/>
  <sheetViews>
    <sheetView showGridLines="0" zoomScaleNormal="100" workbookViewId="0"/>
  </sheetViews>
  <sheetFormatPr baseColWidth="10" defaultRowHeight="12.75"/>
  <cols>
    <col min="1" max="1" width="13.85546875" style="2" customWidth="1"/>
    <col min="2" max="2" width="11.42578125" style="2"/>
    <col min="3" max="3" width="13.42578125" style="2" customWidth="1"/>
    <col min="4" max="4" width="14.140625" style="2" customWidth="1"/>
    <col min="5" max="5" width="12.140625" style="2" customWidth="1"/>
    <col min="6" max="6" width="12.42578125" style="2" customWidth="1"/>
    <col min="7" max="8" width="11.42578125" style="2"/>
    <col min="9" max="9" width="11.5703125" style="2" bestFit="1" customWidth="1"/>
    <col min="10" max="30" width="11.42578125" style="2"/>
    <col min="31" max="33" width="13" style="2" customWidth="1"/>
    <col min="34" max="16384" width="11.42578125" style="2"/>
  </cols>
  <sheetData>
    <row r="2" spans="1:33" ht="15.75">
      <c r="C2" s="16" t="s">
        <v>59</v>
      </c>
    </row>
    <row r="4" spans="1:33" ht="18" customHeight="1">
      <c r="A4" s="4" t="s">
        <v>31</v>
      </c>
      <c r="B4" s="5">
        <f>J4-(C5/4)</f>
        <v>63.25</v>
      </c>
      <c r="C4" s="4" t="s">
        <v>30</v>
      </c>
      <c r="D4" s="8" t="s">
        <v>124</v>
      </c>
      <c r="E4" s="13">
        <f>'Instrucciones de uso'!P52</f>
        <v>33.799999999999997</v>
      </c>
      <c r="F4" s="31">
        <f>'Instrucciones de uso'!Q52</f>
        <v>1</v>
      </c>
      <c r="G4" s="4" t="s">
        <v>126</v>
      </c>
      <c r="H4" s="8" t="s">
        <v>125</v>
      </c>
      <c r="I4" s="11"/>
      <c r="J4" s="13">
        <f>'Instrucciones de uso'!K52</f>
        <v>65.5</v>
      </c>
    </row>
    <row r="5" spans="1:33">
      <c r="A5" s="4" t="s">
        <v>28</v>
      </c>
      <c r="B5" s="32">
        <f>'Instrucciones de uso'!$E$12*B7</f>
        <v>2800</v>
      </c>
      <c r="C5" s="33">
        <f>'Instrucciones de uso'!O52</f>
        <v>9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4" t="s">
        <v>32</v>
      </c>
      <c r="AG5" s="4" t="s">
        <v>33</v>
      </c>
    </row>
    <row r="6" spans="1:33">
      <c r="A6" s="4" t="s">
        <v>34</v>
      </c>
      <c r="B6" s="34">
        <f>IF('Instrucciones de uso'!A52&gt;'Instrucciones de uso'!L52,'Instrucciones de uso'!L52,'Instrucciones de uso'!A52)</f>
        <v>2018</v>
      </c>
      <c r="C6" s="35">
        <f>VLOOKUP(B6,'Instrucciones de uso'!$B$52:$E$61,4)</f>
        <v>2580.1342499999996</v>
      </c>
      <c r="D6" s="12">
        <f>IF($B4-$B$4&gt;=1,12*$I7,($B4-$B$4)*12*$I7)</f>
        <v>0</v>
      </c>
      <c r="E6" s="12">
        <f>IF($B4-$B$4&gt;=2,12*$I7*1.0025,IF(AND($B4-$B$4&gt;1,$B4-$B$4&lt;2),($B4-$B$4-1)*12*$I7*1.0025,0))</f>
        <v>0</v>
      </c>
      <c r="F6" s="12">
        <f>IF($B4-$B$4&gt;=3,12*$I7*1.0025*1.0025,IF(AND($B4-$B$4&gt;2,$B4-$B$4&lt;3),($B4-$B$4-2)*12*$I7*1.0025*1.0025,0))</f>
        <v>0</v>
      </c>
      <c r="G6" s="12">
        <f>IF($B4-$B$4&gt;=4,12*$I7*1.0025*1.0025*1.0025,IF(AND($B4-$B$4&gt;3,$B4-$B$4&lt;4),($B4-$B$4-3)*12*$I7*1.0025*1.0025*1.0025,0))</f>
        <v>0</v>
      </c>
      <c r="H6" s="14" t="s">
        <v>122</v>
      </c>
      <c r="I6" s="7"/>
    </row>
    <row r="7" spans="1:33">
      <c r="A7" s="4" t="s">
        <v>107</v>
      </c>
      <c r="B7" s="30">
        <f>VLOOKUP(B6,'Instrucciones de uso'!$B$52:$F$61,5)</f>
        <v>1</v>
      </c>
      <c r="C7" s="6">
        <f>C6*(100-(0.5*C5))/100</f>
        <v>2464.02820875</v>
      </c>
      <c r="D7" s="4" t="s">
        <v>123</v>
      </c>
      <c r="H7" s="8" t="s">
        <v>58</v>
      </c>
      <c r="I7" s="15">
        <f>'Instrucciones de uso'!$H$12</f>
        <v>550</v>
      </c>
    </row>
    <row r="8" spans="1:33">
      <c r="A8" s="8" t="s">
        <v>29</v>
      </c>
      <c r="B8" s="9">
        <f>IF(F4=1,(100-(C5*1.875))/100,IF(F4=2,(100-(C5*1.75))/100,IF(F4=3,(100-(C5*1.625))/100,(100-(C5*1.5))/100)))</f>
        <v>0.83125000000000004</v>
      </c>
      <c r="C8" s="10">
        <f>MIN(B5*B7*B8,C7)</f>
        <v>2327.5</v>
      </c>
      <c r="D8" s="6">
        <f>IF(B4-$B$4&gt;=1,0,C8*14*(1-(B4-$B$4)))</f>
        <v>32585</v>
      </c>
      <c r="E8" s="6">
        <f>IF(D8&gt;0,C8*14*1.0025,IF(B4-$B$4&gt;=2,0,C8*14*1.0025*(1-(B4-$B$4-1))))</f>
        <v>32666.462499999998</v>
      </c>
      <c r="F8" s="6">
        <f>IF(E8&gt;0,C8*14*1.0025*1.0025,IF(B4-$B$4&gt;=3,0,C8*14*1.0025*1.0025*(1-(B4-$B$4-2))))</f>
        <v>32748.128656249995</v>
      </c>
      <c r="G8" s="6">
        <f>IF(F8&gt;0,C8*14*1.0025*1.0025*1.0025,IF(B4-$B$4&gt;=4,0,C8*14*1.0025*1.0025*1.0025*(1-(B4-$B$4-3))))</f>
        <v>32829.998977890617</v>
      </c>
      <c r="H8" s="6">
        <f>IF(G8&gt;0,C8*14*1.0025*1.0025*1.0025*1.0025,IF(B4-$B$4&gt;=5,0,C8*14*1.0025*1.0025*1.0025*1.0025*(1-(B4-$B$4-4))))</f>
        <v>32912.073975335341</v>
      </c>
      <c r="I8" s="6">
        <f t="shared" ref="I8:N8" si="0">H8*1.0025</f>
        <v>32994.35416027368</v>
      </c>
      <c r="J8" s="6">
        <f t="shared" si="0"/>
        <v>33076.840045674362</v>
      </c>
      <c r="K8" s="6">
        <f t="shared" si="0"/>
        <v>33159.532145788544</v>
      </c>
      <c r="L8" s="6">
        <f t="shared" si="0"/>
        <v>33242.430976153017</v>
      </c>
      <c r="M8" s="6">
        <f t="shared" si="0"/>
        <v>33325.537053593398</v>
      </c>
      <c r="N8" s="6">
        <f t="shared" si="0"/>
        <v>33408.850896227377</v>
      </c>
      <c r="O8" s="6">
        <f>N8*1.0025</f>
        <v>33492.373023467946</v>
      </c>
      <c r="P8" s="6">
        <f>O8*1.0025</f>
        <v>33576.103956026614</v>
      </c>
      <c r="Q8" s="6">
        <f t="shared" ref="Q8:AG8" si="1">P8*1.0025</f>
        <v>33660.044215916678</v>
      </c>
      <c r="R8" s="6">
        <f t="shared" si="1"/>
        <v>33744.194326456469</v>
      </c>
      <c r="S8" s="6">
        <f t="shared" si="1"/>
        <v>33828.55481227261</v>
      </c>
      <c r="T8" s="6">
        <f t="shared" si="1"/>
        <v>33913.126199303289</v>
      </c>
      <c r="U8" s="6">
        <f t="shared" si="1"/>
        <v>33997.909014801546</v>
      </c>
      <c r="V8" s="6">
        <f t="shared" si="1"/>
        <v>34082.903787338546</v>
      </c>
      <c r="W8" s="6">
        <f t="shared" si="1"/>
        <v>34168.111046806887</v>
      </c>
      <c r="X8" s="6">
        <f t="shared" si="1"/>
        <v>34253.531324423901</v>
      </c>
      <c r="Y8" s="6">
        <f t="shared" si="1"/>
        <v>34339.16515273496</v>
      </c>
      <c r="Z8" s="6">
        <f t="shared" si="1"/>
        <v>34425.013065616797</v>
      </c>
      <c r="AA8" s="6">
        <f t="shared" si="1"/>
        <v>34511.075598280833</v>
      </c>
      <c r="AB8" s="6">
        <f t="shared" si="1"/>
        <v>34597.353287276535</v>
      </c>
      <c r="AC8" s="6">
        <f t="shared" si="1"/>
        <v>34683.846670494728</v>
      </c>
      <c r="AD8" s="6">
        <f t="shared" si="1"/>
        <v>34770.556287170963</v>
      </c>
      <c r="AE8" s="6">
        <f t="shared" si="1"/>
        <v>34857.482677888889</v>
      </c>
      <c r="AF8" s="6">
        <f t="shared" si="1"/>
        <v>34944.626384583607</v>
      </c>
      <c r="AG8" s="6">
        <f t="shared" si="1"/>
        <v>35031.987950545066</v>
      </c>
    </row>
    <row r="9" spans="1:33">
      <c r="A9" s="4" t="s">
        <v>52</v>
      </c>
      <c r="B9" s="6">
        <f>C7-C8</f>
        <v>136.52820874999998</v>
      </c>
      <c r="C9" s="4" t="s">
        <v>57</v>
      </c>
      <c r="D9" s="6">
        <f>D8-D6</f>
        <v>32585</v>
      </c>
      <c r="E9" s="6">
        <f>D9+E8-E6</f>
        <v>65251.462499999994</v>
      </c>
      <c r="F9" s="6">
        <f t="shared" ref="F9:G9" si="2">E9+F8-F6</f>
        <v>97999.591156249982</v>
      </c>
      <c r="G9" s="6">
        <f t="shared" si="2"/>
        <v>130829.5901341406</v>
      </c>
      <c r="H9" s="6">
        <f t="shared" ref="H9:AG9" si="3">G9+H8</f>
        <v>163741.66410947594</v>
      </c>
      <c r="I9" s="6">
        <f t="shared" si="3"/>
        <v>196736.01826974962</v>
      </c>
      <c r="J9" s="6">
        <f t="shared" si="3"/>
        <v>229812.85831542398</v>
      </c>
      <c r="K9" s="6">
        <f t="shared" si="3"/>
        <v>262972.39046121249</v>
      </c>
      <c r="L9" s="6">
        <f t="shared" si="3"/>
        <v>296214.82143736549</v>
      </c>
      <c r="M9" s="6">
        <f t="shared" si="3"/>
        <v>329540.35849095887</v>
      </c>
      <c r="N9" s="6">
        <f t="shared" si="3"/>
        <v>362949.20938718622</v>
      </c>
      <c r="O9" s="6">
        <f t="shared" si="3"/>
        <v>396441.58241065417</v>
      </c>
      <c r="P9" s="6">
        <f t="shared" si="3"/>
        <v>430017.68636668078</v>
      </c>
      <c r="Q9" s="6">
        <f t="shared" si="3"/>
        <v>463677.73058259743</v>
      </c>
      <c r="R9" s="6">
        <f t="shared" si="3"/>
        <v>497421.92490905389</v>
      </c>
      <c r="S9" s="6">
        <f t="shared" si="3"/>
        <v>531250.4797213265</v>
      </c>
      <c r="T9" s="6">
        <f t="shared" si="3"/>
        <v>565163.60592062981</v>
      </c>
      <c r="U9" s="6">
        <f t="shared" si="3"/>
        <v>599161.5149354313</v>
      </c>
      <c r="V9" s="6">
        <f t="shared" si="3"/>
        <v>633244.41872276983</v>
      </c>
      <c r="W9" s="6">
        <f t="shared" si="3"/>
        <v>667412.52976957674</v>
      </c>
      <c r="X9" s="6">
        <f t="shared" si="3"/>
        <v>701666.06109400059</v>
      </c>
      <c r="Y9" s="6">
        <f t="shared" si="3"/>
        <v>736005.22624673555</v>
      </c>
      <c r="Z9" s="6">
        <f t="shared" si="3"/>
        <v>770430.23931235238</v>
      </c>
      <c r="AA9" s="6">
        <f t="shared" si="3"/>
        <v>804941.31491063326</v>
      </c>
      <c r="AB9" s="6">
        <f t="shared" si="3"/>
        <v>839538.66819790984</v>
      </c>
      <c r="AC9" s="6">
        <f t="shared" si="3"/>
        <v>874222.5148684046</v>
      </c>
      <c r="AD9" s="6">
        <f t="shared" si="3"/>
        <v>908993.07115557557</v>
      </c>
      <c r="AE9" s="6">
        <f t="shared" si="3"/>
        <v>943850.55383346451</v>
      </c>
      <c r="AF9" s="6">
        <f t="shared" si="3"/>
        <v>978795.18021804816</v>
      </c>
      <c r="AG9" s="6">
        <f t="shared" si="3"/>
        <v>1013827.1681685932</v>
      </c>
    </row>
    <row r="10" spans="1:33">
      <c r="C10" s="3"/>
      <c r="D10" s="3"/>
      <c r="E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8" customHeight="1">
      <c r="A11" s="4" t="s">
        <v>31</v>
      </c>
      <c r="B11" s="5">
        <f>IF($B$4+(0.25*1)&gt;J11,J11,($B$4+(0.25*1)))</f>
        <v>63.5</v>
      </c>
      <c r="C11" s="4" t="s">
        <v>30</v>
      </c>
      <c r="D11" s="8" t="s">
        <v>124</v>
      </c>
      <c r="E11" s="13">
        <f>'Instrucciones de uso'!P53</f>
        <v>34.049999999999997</v>
      </c>
      <c r="F11" s="31">
        <f>'Instrucciones de uso'!Q53</f>
        <v>1</v>
      </c>
      <c r="G11" s="4" t="s">
        <v>126</v>
      </c>
      <c r="H11" s="8" t="s">
        <v>125</v>
      </c>
      <c r="I11" s="11"/>
      <c r="J11" s="13">
        <f>'Instrucciones de uso'!K53</f>
        <v>65.5</v>
      </c>
    </row>
    <row r="12" spans="1:33">
      <c r="A12" s="4" t="s">
        <v>28</v>
      </c>
      <c r="B12" s="32">
        <f>'Instrucciones de uso'!$E$12*B14</f>
        <v>2800</v>
      </c>
      <c r="C12" s="33">
        <f>INT((J11-B11)*4)</f>
        <v>8</v>
      </c>
      <c r="D12" s="4" t="s">
        <v>0</v>
      </c>
      <c r="E12" s="4" t="s">
        <v>1</v>
      </c>
      <c r="F12" s="4" t="s">
        <v>2</v>
      </c>
      <c r="G12" s="4" t="s">
        <v>3</v>
      </c>
      <c r="H12" s="4" t="s">
        <v>4</v>
      </c>
      <c r="I12" s="4" t="s">
        <v>5</v>
      </c>
      <c r="J12" s="4" t="s">
        <v>6</v>
      </c>
      <c r="K12" s="4" t="s">
        <v>7</v>
      </c>
      <c r="L12" s="4" t="s">
        <v>8</v>
      </c>
      <c r="M12" s="4" t="s">
        <v>9</v>
      </c>
      <c r="N12" s="4" t="s">
        <v>10</v>
      </c>
      <c r="O12" s="4" t="s">
        <v>11</v>
      </c>
      <c r="P12" s="4" t="s">
        <v>12</v>
      </c>
      <c r="Q12" s="4" t="s">
        <v>13</v>
      </c>
      <c r="R12" s="4" t="s">
        <v>14</v>
      </c>
      <c r="S12" s="4" t="s">
        <v>15</v>
      </c>
      <c r="T12" s="4" t="s">
        <v>16</v>
      </c>
      <c r="U12" s="4" t="s">
        <v>17</v>
      </c>
      <c r="V12" s="4" t="s">
        <v>18</v>
      </c>
      <c r="W12" s="4" t="s">
        <v>19</v>
      </c>
      <c r="X12" s="4" t="s">
        <v>20</v>
      </c>
      <c r="Y12" s="4" t="s">
        <v>21</v>
      </c>
      <c r="Z12" s="4" t="s">
        <v>22</v>
      </c>
      <c r="AA12" s="4" t="s">
        <v>23</v>
      </c>
      <c r="AB12" s="4" t="s">
        <v>24</v>
      </c>
      <c r="AC12" s="4" t="s">
        <v>25</v>
      </c>
      <c r="AD12" s="4" t="s">
        <v>26</v>
      </c>
      <c r="AE12" s="4" t="s">
        <v>27</v>
      </c>
      <c r="AF12" s="4" t="s">
        <v>32</v>
      </c>
      <c r="AG12" s="4" t="s">
        <v>33</v>
      </c>
    </row>
    <row r="13" spans="1:33">
      <c r="A13" s="4" t="s">
        <v>34</v>
      </c>
      <c r="B13" s="34">
        <f>IF('Instrucciones de uso'!A53&gt;'Instrucciones de uso'!L53,'Instrucciones de uso'!L53,'Instrucciones de uso'!A53)</f>
        <v>2018</v>
      </c>
      <c r="C13" s="35">
        <f>VLOOKUP(B13,'Instrucciones de uso'!$B$52:$E$61,4)</f>
        <v>2580.1342499999996</v>
      </c>
      <c r="D13" s="12">
        <f>IF($B11-$B$4&gt;=1,12*$I14,($B11-$B$4)*12*$I14)</f>
        <v>1650</v>
      </c>
      <c r="E13" s="12">
        <f>IF($B11-$B$4&gt;=2,12*$I14*1.0025,IF(AND($B11-$B$4&gt;1,$B11-$B$4&lt;2),($B11-$B$4-1)*12*$I14*1.0025,0))</f>
        <v>0</v>
      </c>
      <c r="F13" s="12">
        <f>IF($B11-$B$4&gt;=3,12*$I14*1.0025*1.0025,IF(AND($B11-$B$4&gt;2,$B11-$B$4&lt;3),($B11-$B$4-2)*12*$I14*1.0025*1.0025,0))</f>
        <v>0</v>
      </c>
      <c r="G13" s="12">
        <f>IF($B11-$B$4&gt;=4,12*$I14*1.0025*1.0025*1.0025,IF(AND($B11-$B$4&gt;3,$B11-$B$4&lt;4),($B11-$B$4-3)*12*$I14*1.0025*1.0025*1.0025,0))</f>
        <v>0</v>
      </c>
      <c r="H13" s="14" t="s">
        <v>122</v>
      </c>
      <c r="I13" s="7"/>
    </row>
    <row r="14" spans="1:33">
      <c r="A14" s="4" t="s">
        <v>107</v>
      </c>
      <c r="B14" s="30">
        <f>VLOOKUP(B13,'Instrucciones de uso'!$B$52:$F$61,5)</f>
        <v>1</v>
      </c>
      <c r="C14" s="6">
        <f>C13*(100-(0.5*C12))/100</f>
        <v>2476.9288799999999</v>
      </c>
      <c r="D14" s="4" t="s">
        <v>123</v>
      </c>
      <c r="H14" s="8" t="s">
        <v>58</v>
      </c>
      <c r="I14" s="15">
        <f>'Instrucciones de uso'!$H$12</f>
        <v>550</v>
      </c>
    </row>
    <row r="15" spans="1:33">
      <c r="A15" s="8" t="s">
        <v>29</v>
      </c>
      <c r="B15" s="9">
        <f>IF(F11=1,(100-(C12*1.875))/100,IF(F11=2,(100-(C12*1.75))/100,IF(F11=3,(100-(C12*1.625))/100,(100-(C12*1.5))/100)))</f>
        <v>0.85</v>
      </c>
      <c r="C15" s="10">
        <f>MIN(B12*B14*B15,C14)</f>
        <v>2380</v>
      </c>
      <c r="D15" s="6">
        <f>IF(B11-$B$4&gt;=1,0,C15*14*(1-(B11-$B$4)))</f>
        <v>24990</v>
      </c>
      <c r="E15" s="6">
        <f>IF(D15&gt;0,C15*14*1.0025,IF(B11-$B$4&gt;=2,0,C15*14*1.0025*(1-(B11-$B$4-1))))</f>
        <v>33403.299999999996</v>
      </c>
      <c r="F15" s="6">
        <f>IF(E15&gt;0,C15*14*1.0025*1.0025,IF(B11-$B$4&gt;=3,0,C15*14*1.0025*1.0025*(1-(B11-$B$4-2))))</f>
        <v>33486.808249999995</v>
      </c>
      <c r="G15" s="6">
        <f>IF(F15&gt;0,C15*14*1.0025*1.0025*1.0025,IF(B11-$B$4&gt;=4,0,C15*14*1.0025*1.0025*1.0025*(1-(B11-$B$4-3))))</f>
        <v>33570.525270624996</v>
      </c>
      <c r="H15" s="6">
        <f>IF(G15&gt;0,C15*14*1.0025*1.0025*1.0025*1.0025,IF(B11-$B$4&gt;=5,0,C15*14*1.0025*1.0025*1.0025*1.0025*(1-(B11-$B$4-4))))</f>
        <v>33654.451583801558</v>
      </c>
      <c r="I15" s="6">
        <f t="shared" ref="I15:AG15" si="4">H15*1.0025</f>
        <v>33738.587712761058</v>
      </c>
      <c r="J15" s="6">
        <f t="shared" si="4"/>
        <v>33822.934182042962</v>
      </c>
      <c r="K15" s="6">
        <f t="shared" si="4"/>
        <v>33907.491517498071</v>
      </c>
      <c r="L15" s="6">
        <f t="shared" si="4"/>
        <v>33992.260246291815</v>
      </c>
      <c r="M15" s="6">
        <f t="shared" si="4"/>
        <v>34077.24089690754</v>
      </c>
      <c r="N15" s="6">
        <f t="shared" si="4"/>
        <v>34162.433999149805</v>
      </c>
      <c r="O15" s="6">
        <f t="shared" si="4"/>
        <v>34247.840084147676</v>
      </c>
      <c r="P15" s="6">
        <f t="shared" si="4"/>
        <v>34333.459684358044</v>
      </c>
      <c r="Q15" s="6">
        <f t="shared" si="4"/>
        <v>34419.293333568938</v>
      </c>
      <c r="R15" s="6">
        <f t="shared" si="4"/>
        <v>34505.341566902862</v>
      </c>
      <c r="S15" s="6">
        <f t="shared" si="4"/>
        <v>34591.604920820115</v>
      </c>
      <c r="T15" s="6">
        <f t="shared" si="4"/>
        <v>34678.083933122165</v>
      </c>
      <c r="U15" s="6">
        <f t="shared" si="4"/>
        <v>34764.779142954969</v>
      </c>
      <c r="V15" s="6">
        <f t="shared" si="4"/>
        <v>34851.691090812354</v>
      </c>
      <c r="W15" s="6">
        <f t="shared" si="4"/>
        <v>34938.82031853938</v>
      </c>
      <c r="X15" s="6">
        <f t="shared" si="4"/>
        <v>35026.167369335722</v>
      </c>
      <c r="Y15" s="6">
        <f t="shared" si="4"/>
        <v>35113.732787759058</v>
      </c>
      <c r="Z15" s="6">
        <f t="shared" si="4"/>
        <v>35201.517119728451</v>
      </c>
      <c r="AA15" s="6">
        <f t="shared" si="4"/>
        <v>35289.520912527769</v>
      </c>
      <c r="AB15" s="6">
        <f t="shared" si="4"/>
        <v>35377.744714809087</v>
      </c>
      <c r="AC15" s="6">
        <f t="shared" si="4"/>
        <v>35466.189076596107</v>
      </c>
      <c r="AD15" s="6">
        <f t="shared" si="4"/>
        <v>35554.854549287593</v>
      </c>
      <c r="AE15" s="6">
        <f t="shared" si="4"/>
        <v>35643.741685660811</v>
      </c>
      <c r="AF15" s="6">
        <f t="shared" si="4"/>
        <v>35732.851039874964</v>
      </c>
      <c r="AG15" s="6">
        <f t="shared" si="4"/>
        <v>35822.18316747465</v>
      </c>
    </row>
    <row r="16" spans="1:33">
      <c r="A16" s="4" t="s">
        <v>52</v>
      </c>
      <c r="B16" s="6">
        <f>C14-C15</f>
        <v>96.928879999999936</v>
      </c>
      <c r="C16" s="4" t="s">
        <v>57</v>
      </c>
      <c r="D16" s="6">
        <f>D15-D13</f>
        <v>23340</v>
      </c>
      <c r="E16" s="6">
        <f>D16+E15-E13</f>
        <v>56743.299999999996</v>
      </c>
      <c r="F16" s="6">
        <f t="shared" ref="F16" si="5">E16+F15-F13</f>
        <v>90230.10824999999</v>
      </c>
      <c r="G16" s="6">
        <f t="shared" ref="G16" si="6">F16+G15-G13</f>
        <v>123800.63352062498</v>
      </c>
      <c r="H16" s="6">
        <f t="shared" ref="H16:AG16" si="7">G16+H15</f>
        <v>157455.08510442654</v>
      </c>
      <c r="I16" s="6">
        <f t="shared" si="7"/>
        <v>191193.67281718762</v>
      </c>
      <c r="J16" s="6">
        <f t="shared" si="7"/>
        <v>225016.60699923057</v>
      </c>
      <c r="K16" s="6">
        <f t="shared" si="7"/>
        <v>258924.09851672864</v>
      </c>
      <c r="L16" s="6">
        <f t="shared" si="7"/>
        <v>292916.35876302049</v>
      </c>
      <c r="M16" s="6">
        <f t="shared" si="7"/>
        <v>326993.599659928</v>
      </c>
      <c r="N16" s="6">
        <f t="shared" si="7"/>
        <v>361156.03365907783</v>
      </c>
      <c r="O16" s="6">
        <f t="shared" si="7"/>
        <v>395403.87374322553</v>
      </c>
      <c r="P16" s="6">
        <f t="shared" si="7"/>
        <v>429737.33342758357</v>
      </c>
      <c r="Q16" s="6">
        <f t="shared" si="7"/>
        <v>464156.62676115253</v>
      </c>
      <c r="R16" s="6">
        <f t="shared" si="7"/>
        <v>498661.9683280554</v>
      </c>
      <c r="S16" s="6">
        <f t="shared" si="7"/>
        <v>533253.57324887556</v>
      </c>
      <c r="T16" s="6">
        <f t="shared" si="7"/>
        <v>567931.65718199778</v>
      </c>
      <c r="U16" s="6">
        <f t="shared" si="7"/>
        <v>602696.43632495275</v>
      </c>
      <c r="V16" s="6">
        <f t="shared" si="7"/>
        <v>637548.12741576508</v>
      </c>
      <c r="W16" s="6">
        <f t="shared" si="7"/>
        <v>672486.94773430447</v>
      </c>
      <c r="X16" s="6">
        <f t="shared" si="7"/>
        <v>707513.11510364024</v>
      </c>
      <c r="Y16" s="6">
        <f t="shared" si="7"/>
        <v>742626.84789139929</v>
      </c>
      <c r="Z16" s="6">
        <f t="shared" si="7"/>
        <v>777828.36501112778</v>
      </c>
      <c r="AA16" s="6">
        <f t="shared" si="7"/>
        <v>813117.88592365559</v>
      </c>
      <c r="AB16" s="6">
        <f t="shared" si="7"/>
        <v>848495.6306384647</v>
      </c>
      <c r="AC16" s="6">
        <f t="shared" si="7"/>
        <v>883961.81971506076</v>
      </c>
      <c r="AD16" s="6">
        <f t="shared" si="7"/>
        <v>919516.67426434834</v>
      </c>
      <c r="AE16" s="6">
        <f t="shared" si="7"/>
        <v>955160.41595000913</v>
      </c>
      <c r="AF16" s="6">
        <f t="shared" si="7"/>
        <v>990893.26698988408</v>
      </c>
      <c r="AG16" s="6">
        <f t="shared" si="7"/>
        <v>1026715.4501573588</v>
      </c>
    </row>
    <row r="17" spans="1:33">
      <c r="C17" s="3"/>
      <c r="D17" s="3"/>
      <c r="E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8" customHeight="1">
      <c r="A18" s="4" t="s">
        <v>31</v>
      </c>
      <c r="B18" s="5">
        <f>IF($B$4+(0.25*2)&gt;J18,J18,($B$4+(0.25*2)))</f>
        <v>63.75</v>
      </c>
      <c r="C18" s="4" t="s">
        <v>30</v>
      </c>
      <c r="D18" s="8" t="s">
        <v>124</v>
      </c>
      <c r="E18" s="13">
        <f>'Instrucciones de uso'!P54</f>
        <v>34.299999999999997</v>
      </c>
      <c r="F18" s="31">
        <f>'Instrucciones de uso'!Q54</f>
        <v>1</v>
      </c>
      <c r="G18" s="4" t="s">
        <v>126</v>
      </c>
      <c r="H18" s="8" t="s">
        <v>125</v>
      </c>
      <c r="I18" s="11"/>
      <c r="J18" s="13">
        <f>'Instrucciones de uso'!K54</f>
        <v>65.5</v>
      </c>
    </row>
    <row r="19" spans="1:33">
      <c r="A19" s="4" t="s">
        <v>28</v>
      </c>
      <c r="B19" s="32">
        <f>'Instrucciones de uso'!$E$12*B21</f>
        <v>2800</v>
      </c>
      <c r="C19" s="33">
        <f>INT((J18-B18)*4)</f>
        <v>7</v>
      </c>
      <c r="D19" s="4" t="s">
        <v>0</v>
      </c>
      <c r="E19" s="4" t="s">
        <v>1</v>
      </c>
      <c r="F19" s="4" t="s">
        <v>2</v>
      </c>
      <c r="G19" s="4" t="s">
        <v>3</v>
      </c>
      <c r="H19" s="4" t="s">
        <v>4</v>
      </c>
      <c r="I19" s="4" t="s">
        <v>5</v>
      </c>
      <c r="J19" s="4" t="s">
        <v>6</v>
      </c>
      <c r="K19" s="4" t="s">
        <v>7</v>
      </c>
      <c r="L19" s="4" t="s">
        <v>8</v>
      </c>
      <c r="M19" s="4" t="s">
        <v>9</v>
      </c>
      <c r="N19" s="4" t="s">
        <v>10</v>
      </c>
      <c r="O19" s="4" t="s">
        <v>11</v>
      </c>
      <c r="P19" s="4" t="s">
        <v>12</v>
      </c>
      <c r="Q19" s="4" t="s">
        <v>13</v>
      </c>
      <c r="R19" s="4" t="s">
        <v>14</v>
      </c>
      <c r="S19" s="4" t="s">
        <v>15</v>
      </c>
      <c r="T19" s="4" t="s">
        <v>16</v>
      </c>
      <c r="U19" s="4" t="s">
        <v>17</v>
      </c>
      <c r="V19" s="4" t="s">
        <v>18</v>
      </c>
      <c r="W19" s="4" t="s">
        <v>19</v>
      </c>
      <c r="X19" s="4" t="s">
        <v>20</v>
      </c>
      <c r="Y19" s="4" t="s">
        <v>21</v>
      </c>
      <c r="Z19" s="4" t="s">
        <v>22</v>
      </c>
      <c r="AA19" s="4" t="s">
        <v>23</v>
      </c>
      <c r="AB19" s="4" t="s">
        <v>24</v>
      </c>
      <c r="AC19" s="4" t="s">
        <v>25</v>
      </c>
      <c r="AD19" s="4" t="s">
        <v>26</v>
      </c>
      <c r="AE19" s="4" t="s">
        <v>27</v>
      </c>
      <c r="AF19" s="4" t="s">
        <v>32</v>
      </c>
      <c r="AG19" s="4" t="s">
        <v>33</v>
      </c>
    </row>
    <row r="20" spans="1:33">
      <c r="A20" s="4" t="s">
        <v>34</v>
      </c>
      <c r="B20" s="34">
        <f>IF('Instrucciones de uso'!A54&gt;'Instrucciones de uso'!L54,'Instrucciones de uso'!L54,'Instrucciones de uso'!A54)</f>
        <v>2018</v>
      </c>
      <c r="C20" s="35">
        <f>VLOOKUP(B20,'Instrucciones de uso'!$B$52:$E$61,4)</f>
        <v>2580.1342499999996</v>
      </c>
      <c r="D20" s="12">
        <f>IF($B18-$B$4&gt;=1,12*$I21,($B18-$B$4)*12*$I21)</f>
        <v>3300</v>
      </c>
      <c r="E20" s="12">
        <f>IF($B18-$B$4&gt;=2,12*$I21*1.0025,IF(AND($B18-$B$4&gt;1,$B18-$B$4&lt;2),($B18-$B$4-1)*12*$I21*1.0025,0))</f>
        <v>0</v>
      </c>
      <c r="F20" s="12">
        <f>IF($B18-$B$4&gt;=3,12*$I21*1.0025*1.0025,IF(AND($B18-$B$4&gt;2,$B18-$B$4&lt;3),($B18-$B$4-2)*12*$I21*1.0025*1.0025,0))</f>
        <v>0</v>
      </c>
      <c r="G20" s="12">
        <f>IF($B18-$B$4&gt;=4,12*$I21*1.0025*1.0025*1.0025,IF(AND($B18-$B$4&gt;3,$B18-$B$4&lt;4),($B18-$B$4-3)*12*$I21*1.0025*1.0025*1.0025,0))</f>
        <v>0</v>
      </c>
      <c r="H20" s="14" t="s">
        <v>122</v>
      </c>
      <c r="I20" s="7"/>
    </row>
    <row r="21" spans="1:33">
      <c r="A21" s="4" t="s">
        <v>107</v>
      </c>
      <c r="B21" s="30">
        <f>VLOOKUP(B20,'Instrucciones de uso'!$B$52:$F$61,5)</f>
        <v>1</v>
      </c>
      <c r="C21" s="6">
        <f>C20*(100-(0.5*C19))/100</f>
        <v>2489.8295512499994</v>
      </c>
      <c r="D21" s="4" t="s">
        <v>123</v>
      </c>
      <c r="H21" s="8" t="s">
        <v>58</v>
      </c>
      <c r="I21" s="15">
        <f>'Instrucciones de uso'!$H$12</f>
        <v>550</v>
      </c>
    </row>
    <row r="22" spans="1:33">
      <c r="A22" s="8" t="s">
        <v>29</v>
      </c>
      <c r="B22" s="9">
        <f>IF(F18=1,(100-(C19*1.875))/100,IF(F18=2,(100-(C19*1.75))/100,IF(F18=3,(100-(C19*1.625))/100,(100-(C19*1.5))/100)))</f>
        <v>0.86875000000000002</v>
      </c>
      <c r="C22" s="10">
        <f>MIN(B19*B21*B22,C21)</f>
        <v>2432.5</v>
      </c>
      <c r="D22" s="6">
        <f>IF(B18-$B$4&gt;=1,0,C22*14*(1-(B18-$B$4)))</f>
        <v>17027.5</v>
      </c>
      <c r="E22" s="6">
        <f>IF(D22&gt;0,C22*14*1.0025,IF(B18-$B$4&gt;=2,0,C22*14*1.0025*(1-(B18-$B$4-1))))</f>
        <v>34140.137499999997</v>
      </c>
      <c r="F22" s="6">
        <f>IF(E22&gt;0,C22*14*1.0025*1.0025,IF(B18-$B$4&gt;=3,0,C22*14*1.0025*1.0025*(1-(B18-$B$4-2))))</f>
        <v>34225.487843749994</v>
      </c>
      <c r="G22" s="6">
        <f>IF(F22&gt;0,C22*14*1.0025*1.0025*1.0025,IF(B18-$B$4&gt;=4,0,C22*14*1.0025*1.0025*1.0025*(1-(B18-$B$4-3))))</f>
        <v>34311.051563359368</v>
      </c>
      <c r="H22" s="6">
        <f>IF(G22&gt;0,C22*14*1.0025*1.0025*1.0025*1.0025,IF(B18-$B$4&gt;=5,0,C22*14*1.0025*1.0025*1.0025*1.0025*(1-(B18-$B$4-4))))</f>
        <v>34396.829192267767</v>
      </c>
      <c r="I22" s="6">
        <f t="shared" ref="I22:AG22" si="8">H22*1.0025</f>
        <v>34482.821265248436</v>
      </c>
      <c r="J22" s="6">
        <f t="shared" si="8"/>
        <v>34569.028318411554</v>
      </c>
      <c r="K22" s="6">
        <f t="shared" si="8"/>
        <v>34655.450889207583</v>
      </c>
      <c r="L22" s="6">
        <f t="shared" si="8"/>
        <v>34742.089516430598</v>
      </c>
      <c r="M22" s="6">
        <f t="shared" si="8"/>
        <v>34828.944740221676</v>
      </c>
      <c r="N22" s="6">
        <f t="shared" si="8"/>
        <v>34916.017102072226</v>
      </c>
      <c r="O22" s="6">
        <f t="shared" si="8"/>
        <v>35003.307144827406</v>
      </c>
      <c r="P22" s="6">
        <f t="shared" si="8"/>
        <v>35090.815412689473</v>
      </c>
      <c r="Q22" s="6">
        <f t="shared" si="8"/>
        <v>35178.542451221198</v>
      </c>
      <c r="R22" s="6">
        <f t="shared" si="8"/>
        <v>35266.488807349248</v>
      </c>
      <c r="S22" s="6">
        <f t="shared" si="8"/>
        <v>35354.655029367619</v>
      </c>
      <c r="T22" s="6">
        <f t="shared" si="8"/>
        <v>35443.041666941033</v>
      </c>
      <c r="U22" s="6">
        <f t="shared" si="8"/>
        <v>35531.649271108385</v>
      </c>
      <c r="V22" s="6">
        <f t="shared" si="8"/>
        <v>35620.478394286154</v>
      </c>
      <c r="W22" s="6">
        <f t="shared" si="8"/>
        <v>35709.529590271864</v>
      </c>
      <c r="X22" s="6">
        <f t="shared" si="8"/>
        <v>35798.803414247544</v>
      </c>
      <c r="Y22" s="6">
        <f t="shared" si="8"/>
        <v>35888.300422783163</v>
      </c>
      <c r="Z22" s="6">
        <f t="shared" si="8"/>
        <v>35978.021173840119</v>
      </c>
      <c r="AA22" s="6">
        <f t="shared" si="8"/>
        <v>36067.966226774719</v>
      </c>
      <c r="AB22" s="6">
        <f t="shared" si="8"/>
        <v>36158.136142341653</v>
      </c>
      <c r="AC22" s="6">
        <f t="shared" si="8"/>
        <v>36248.531482697508</v>
      </c>
      <c r="AD22" s="6">
        <f t="shared" si="8"/>
        <v>36339.152811404252</v>
      </c>
      <c r="AE22" s="6">
        <f t="shared" si="8"/>
        <v>36430.000693432761</v>
      </c>
      <c r="AF22" s="6">
        <f t="shared" si="8"/>
        <v>36521.075695166342</v>
      </c>
      <c r="AG22" s="6">
        <f t="shared" si="8"/>
        <v>36612.378384404255</v>
      </c>
    </row>
    <row r="23" spans="1:33">
      <c r="A23" s="4" t="s">
        <v>52</v>
      </c>
      <c r="B23" s="6">
        <f>C21-C22</f>
        <v>57.32955124999944</v>
      </c>
      <c r="C23" s="4" t="s">
        <v>57</v>
      </c>
      <c r="D23" s="6">
        <f>D22-D20</f>
        <v>13727.5</v>
      </c>
      <c r="E23" s="6">
        <f>D23+E22-E20</f>
        <v>47867.637499999997</v>
      </c>
      <c r="F23" s="6">
        <f t="shared" ref="F23" si="9">E23+F22-F20</f>
        <v>82093.125343749998</v>
      </c>
      <c r="G23" s="6">
        <f t="shared" ref="G23" si="10">F23+G22-G20</f>
        <v>116404.17690710936</v>
      </c>
      <c r="H23" s="6">
        <f t="shared" ref="H23:AG23" si="11">G23+H22</f>
        <v>150801.00609937712</v>
      </c>
      <c r="I23" s="6">
        <f t="shared" si="11"/>
        <v>185283.82736462555</v>
      </c>
      <c r="J23" s="6">
        <f t="shared" si="11"/>
        <v>219852.85568303711</v>
      </c>
      <c r="K23" s="6">
        <f t="shared" si="11"/>
        <v>254508.30657224468</v>
      </c>
      <c r="L23" s="6">
        <f t="shared" si="11"/>
        <v>289250.39608867525</v>
      </c>
      <c r="M23" s="6">
        <f t="shared" si="11"/>
        <v>324079.34082889691</v>
      </c>
      <c r="N23" s="6">
        <f t="shared" si="11"/>
        <v>358995.35793096916</v>
      </c>
      <c r="O23" s="6">
        <f t="shared" si="11"/>
        <v>393998.66507579654</v>
      </c>
      <c r="P23" s="6">
        <f t="shared" si="11"/>
        <v>429089.48048848601</v>
      </c>
      <c r="Q23" s="6">
        <f t="shared" si="11"/>
        <v>464268.02293970721</v>
      </c>
      <c r="R23" s="6">
        <f t="shared" si="11"/>
        <v>499534.51174705644</v>
      </c>
      <c r="S23" s="6">
        <f t="shared" si="11"/>
        <v>534889.16677642404</v>
      </c>
      <c r="T23" s="6">
        <f t="shared" si="11"/>
        <v>570332.20844336506</v>
      </c>
      <c r="U23" s="6">
        <f t="shared" si="11"/>
        <v>605863.8577144735</v>
      </c>
      <c r="V23" s="6">
        <f t="shared" si="11"/>
        <v>641484.33610875963</v>
      </c>
      <c r="W23" s="6">
        <f t="shared" si="11"/>
        <v>677193.86569903151</v>
      </c>
      <c r="X23" s="6">
        <f t="shared" si="11"/>
        <v>712992.66911327909</v>
      </c>
      <c r="Y23" s="6">
        <f t="shared" si="11"/>
        <v>748880.96953606221</v>
      </c>
      <c r="Z23" s="6">
        <f t="shared" si="11"/>
        <v>784858.99070990237</v>
      </c>
      <c r="AA23" s="6">
        <f t="shared" si="11"/>
        <v>820926.9569366771</v>
      </c>
      <c r="AB23" s="6">
        <f t="shared" si="11"/>
        <v>857085.09307901876</v>
      </c>
      <c r="AC23" s="6">
        <f t="shared" si="11"/>
        <v>893333.62456171622</v>
      </c>
      <c r="AD23" s="6">
        <f t="shared" si="11"/>
        <v>929672.77737312042</v>
      </c>
      <c r="AE23" s="6">
        <f t="shared" si="11"/>
        <v>966102.77806655318</v>
      </c>
      <c r="AF23" s="6">
        <f t="shared" si="11"/>
        <v>1002623.8537617195</v>
      </c>
      <c r="AG23" s="6">
        <f t="shared" si="11"/>
        <v>1039236.2321461238</v>
      </c>
    </row>
    <row r="25" spans="1:33" ht="18" customHeight="1">
      <c r="A25" s="4" t="s">
        <v>31</v>
      </c>
      <c r="B25" s="5">
        <f>IF($B$4+(0.25*3)&gt;J25,J25,($B$4+(0.25*3)))</f>
        <v>64</v>
      </c>
      <c r="C25" s="4" t="s">
        <v>30</v>
      </c>
      <c r="D25" s="8" t="s">
        <v>124</v>
      </c>
      <c r="E25" s="13">
        <f>'Instrucciones de uso'!P55</f>
        <v>34.549999999999997</v>
      </c>
      <c r="F25" s="31">
        <f>'Instrucciones de uso'!Q55</f>
        <v>1</v>
      </c>
      <c r="G25" s="4" t="s">
        <v>126</v>
      </c>
      <c r="H25" s="8" t="s">
        <v>125</v>
      </c>
      <c r="I25" s="11"/>
      <c r="J25" s="13">
        <f>'Instrucciones de uso'!K55</f>
        <v>65.666600000000003</v>
      </c>
    </row>
    <row r="26" spans="1:33">
      <c r="A26" s="4" t="s">
        <v>28</v>
      </c>
      <c r="B26" s="32">
        <f>'Instrucciones de uso'!$E$12*B28</f>
        <v>2783.8376990519955</v>
      </c>
      <c r="C26" s="33">
        <f>INT((J25-B25)*4)</f>
        <v>6</v>
      </c>
      <c r="D26" s="4" t="s">
        <v>0</v>
      </c>
      <c r="E26" s="4" t="s">
        <v>1</v>
      </c>
      <c r="F26" s="4" t="s">
        <v>2</v>
      </c>
      <c r="G26" s="4" t="s">
        <v>3</v>
      </c>
      <c r="H26" s="4" t="s">
        <v>4</v>
      </c>
      <c r="I26" s="4" t="s">
        <v>5</v>
      </c>
      <c r="J26" s="4" t="s">
        <v>6</v>
      </c>
      <c r="K26" s="4" t="s">
        <v>7</v>
      </c>
      <c r="L26" s="4" t="s">
        <v>8</v>
      </c>
      <c r="M26" s="4" t="s">
        <v>9</v>
      </c>
      <c r="N26" s="4" t="s">
        <v>10</v>
      </c>
      <c r="O26" s="4" t="s">
        <v>11</v>
      </c>
      <c r="P26" s="4" t="s">
        <v>12</v>
      </c>
      <c r="Q26" s="4" t="s">
        <v>13</v>
      </c>
      <c r="R26" s="4" t="s">
        <v>14</v>
      </c>
      <c r="S26" s="4" t="s">
        <v>15</v>
      </c>
      <c r="T26" s="4" t="s">
        <v>16</v>
      </c>
      <c r="U26" s="4" t="s">
        <v>17</v>
      </c>
      <c r="V26" s="4" t="s">
        <v>18</v>
      </c>
      <c r="W26" s="4" t="s">
        <v>19</v>
      </c>
      <c r="X26" s="4" t="s">
        <v>20</v>
      </c>
      <c r="Y26" s="4" t="s">
        <v>21</v>
      </c>
      <c r="Z26" s="4" t="s">
        <v>22</v>
      </c>
      <c r="AA26" s="4" t="s">
        <v>23</v>
      </c>
      <c r="AB26" s="4" t="s">
        <v>24</v>
      </c>
      <c r="AC26" s="4" t="s">
        <v>25</v>
      </c>
      <c r="AD26" s="4" t="s">
        <v>26</v>
      </c>
      <c r="AE26" s="4" t="s">
        <v>27</v>
      </c>
      <c r="AF26" s="4" t="s">
        <v>32</v>
      </c>
      <c r="AG26" s="4" t="s">
        <v>33</v>
      </c>
    </row>
    <row r="27" spans="1:33">
      <c r="A27" s="4" t="s">
        <v>34</v>
      </c>
      <c r="B27" s="34">
        <f>IF('Instrucciones de uso'!A55&gt;'Instrucciones de uso'!L55,'Instrucciones de uso'!L55,'Instrucciones de uso'!A55)</f>
        <v>2019</v>
      </c>
      <c r="C27" s="35">
        <f>VLOOKUP(B27,'Instrucciones de uso'!$B$52:$E$61,4)</f>
        <v>2586.5845856249994</v>
      </c>
      <c r="D27" s="12">
        <f>IF($B25-$B$4&gt;=1,12*$I28,($B25-$B$4)*12*$I28)</f>
        <v>4950</v>
      </c>
      <c r="E27" s="12">
        <f>IF($B25-$B$4&gt;=2,12*$I28*1.0025,IF(AND($B25-$B$4&gt;1,$B25-$B$4&lt;2),($B25-$B$4-1)*12*$I28*1.0025,0))</f>
        <v>0</v>
      </c>
      <c r="F27" s="12">
        <f>IF($B25-$B$4&gt;=3,12*$I28*1.0025*1.0025,IF(AND($B25-$B$4&gt;2,$B25-$B$4&lt;3),($B25-$B$4-2)*12*$I28*1.0025*1.0025,0))</f>
        <v>0</v>
      </c>
      <c r="G27" s="12">
        <f>IF($B25-$B$4&gt;=4,12*$I28*1.0025*1.0025*1.0025,IF(AND($B25-$B$4&gt;3,$B25-$B$4&lt;4),($B25-$B$4-3)*12*$I28*1.0025*1.0025*1.0025,0))</f>
        <v>0</v>
      </c>
      <c r="H27" s="14" t="s">
        <v>122</v>
      </c>
      <c r="I27" s="7"/>
    </row>
    <row r="28" spans="1:33">
      <c r="A28" s="4" t="s">
        <v>107</v>
      </c>
      <c r="B28" s="30">
        <f>VLOOKUP(B27,'Instrucciones de uso'!$B$52:$F$61,5)</f>
        <v>0.99422774966142702</v>
      </c>
      <c r="C28" s="6">
        <f>C27*(100-(0.5*C26))/100</f>
        <v>2508.9870480562495</v>
      </c>
      <c r="D28" s="4" t="s">
        <v>123</v>
      </c>
      <c r="H28" s="8" t="s">
        <v>58</v>
      </c>
      <c r="I28" s="15">
        <f>'Instrucciones de uso'!$H$12</f>
        <v>550</v>
      </c>
    </row>
    <row r="29" spans="1:33">
      <c r="A29" s="8" t="s">
        <v>29</v>
      </c>
      <c r="B29" s="9">
        <f>IF(F25=1,(100-(C26*1.875))/100,IF(F25=2,(100-(C26*1.75))/100,IF(F25=3,(100-(C26*1.625))/100,(100-(C26*1.5))/100)))</f>
        <v>0.88749999999999996</v>
      </c>
      <c r="C29" s="10">
        <f>MIN(B26*B28*B29,C28)</f>
        <v>2456.3947132191101</v>
      </c>
      <c r="D29" s="6">
        <f>IF(B25-$B$4&gt;=1,0,C29*14*(1-(B25-$B$4)))</f>
        <v>8597.3814962668857</v>
      </c>
      <c r="E29" s="6">
        <f>IF(D29&gt;0,C29*14*1.0025,IF(B25-$B$4&gt;=2,0,C29*14*1.0025*(1-(B25-$B$4-1))))</f>
        <v>34475.499800030208</v>
      </c>
      <c r="F29" s="6">
        <f>IF(E29&gt;0,C29*14*1.0025*1.0025,IF(B25-$B$4&gt;=3,0,C29*14*1.0025*1.0025*(1-(B25-$B$4-2))))</f>
        <v>34561.688549530278</v>
      </c>
      <c r="G29" s="6">
        <f>IF(F29&gt;0,C29*14*1.0025*1.0025*1.0025,IF(B25-$B$4&gt;=4,0,C29*14*1.0025*1.0025*1.0025*(1-(B25-$B$4-3))))</f>
        <v>34648.092770904099</v>
      </c>
      <c r="H29" s="6">
        <f>IF(G29&gt;0,C29*14*1.0025*1.0025*1.0025*1.0025,IF($C$5-C26&gt;20,0,C29*14*1.0025*1.0025*1.0025*1.0025*(4-($C$5-C26-16))/4))</f>
        <v>34734.713002831355</v>
      </c>
      <c r="I29" s="6">
        <f t="shared" ref="I29:AG29" si="12">H29*1.0025</f>
        <v>34821.54978533843</v>
      </c>
      <c r="J29" s="6">
        <f t="shared" si="12"/>
        <v>34908.603659801774</v>
      </c>
      <c r="K29" s="6">
        <f t="shared" si="12"/>
        <v>34995.875168951279</v>
      </c>
      <c r="L29" s="6">
        <f t="shared" si="12"/>
        <v>35083.364856873653</v>
      </c>
      <c r="M29" s="6">
        <f t="shared" si="12"/>
        <v>35171.073269015833</v>
      </c>
      <c r="N29" s="6">
        <f t="shared" si="12"/>
        <v>35259.000952188369</v>
      </c>
      <c r="O29" s="6">
        <f t="shared" si="12"/>
        <v>35347.148454568836</v>
      </c>
      <c r="P29" s="6">
        <f t="shared" si="12"/>
        <v>35435.516325705255</v>
      </c>
      <c r="Q29" s="6">
        <f t="shared" si="12"/>
        <v>35524.105116519517</v>
      </c>
      <c r="R29" s="6">
        <f t="shared" si="12"/>
        <v>35612.915379310813</v>
      </c>
      <c r="S29" s="6">
        <f t="shared" si="12"/>
        <v>35701.947667759086</v>
      </c>
      <c r="T29" s="6">
        <f t="shared" si="12"/>
        <v>35791.202536928482</v>
      </c>
      <c r="U29" s="6">
        <f t="shared" si="12"/>
        <v>35880.680543270799</v>
      </c>
      <c r="V29" s="6">
        <f t="shared" si="12"/>
        <v>35970.382244628971</v>
      </c>
      <c r="W29" s="6">
        <f t="shared" si="12"/>
        <v>36060.308200240543</v>
      </c>
      <c r="X29" s="6">
        <f t="shared" si="12"/>
        <v>36150.458970741143</v>
      </c>
      <c r="Y29" s="6">
        <f t="shared" si="12"/>
        <v>36240.835118167997</v>
      </c>
      <c r="Z29" s="6">
        <f t="shared" si="12"/>
        <v>36331.437205963419</v>
      </c>
      <c r="AA29" s="6">
        <f t="shared" si="12"/>
        <v>36422.265798978326</v>
      </c>
      <c r="AB29" s="6">
        <f t="shared" si="12"/>
        <v>36513.321463475768</v>
      </c>
      <c r="AC29" s="6">
        <f t="shared" si="12"/>
        <v>36604.604767134457</v>
      </c>
      <c r="AD29" s="6">
        <f t="shared" si="12"/>
        <v>36696.116279052294</v>
      </c>
      <c r="AE29" s="6">
        <f t="shared" si="12"/>
        <v>36787.856569749922</v>
      </c>
      <c r="AF29" s="6">
        <f t="shared" si="12"/>
        <v>36879.826211174295</v>
      </c>
      <c r="AG29" s="6">
        <f t="shared" si="12"/>
        <v>36972.025776702227</v>
      </c>
    </row>
    <row r="30" spans="1:33">
      <c r="A30" s="4" t="s">
        <v>52</v>
      </c>
      <c r="B30" s="6">
        <f>C28-C29</f>
        <v>52.592334837139333</v>
      </c>
      <c r="C30" s="4" t="s">
        <v>57</v>
      </c>
      <c r="D30" s="6">
        <f>D29-D27</f>
        <v>3647.3814962668857</v>
      </c>
      <c r="E30" s="6">
        <f>D30+E29-E27</f>
        <v>38122.881296297091</v>
      </c>
      <c r="F30" s="6">
        <f t="shared" ref="F30" si="13">E30+F29-F27</f>
        <v>72684.569845827369</v>
      </c>
      <c r="G30" s="6">
        <f t="shared" ref="G30" si="14">F30+G29-G27</f>
        <v>107332.66261673147</v>
      </c>
      <c r="H30" s="6">
        <f t="shared" ref="H30:AG30" si="15">G30+H29</f>
        <v>142067.37561956281</v>
      </c>
      <c r="I30" s="6">
        <f t="shared" si="15"/>
        <v>176888.92540490124</v>
      </c>
      <c r="J30" s="6">
        <f t="shared" si="15"/>
        <v>211797.52906470301</v>
      </c>
      <c r="K30" s="6">
        <f t="shared" si="15"/>
        <v>246793.40423365429</v>
      </c>
      <c r="L30" s="6">
        <f t="shared" si="15"/>
        <v>281876.76909052796</v>
      </c>
      <c r="M30" s="6">
        <f t="shared" si="15"/>
        <v>317047.84235954378</v>
      </c>
      <c r="N30" s="6">
        <f t="shared" si="15"/>
        <v>352306.84331173217</v>
      </c>
      <c r="O30" s="6">
        <f t="shared" si="15"/>
        <v>387653.99176630098</v>
      </c>
      <c r="P30" s="6">
        <f t="shared" si="15"/>
        <v>423089.50809200626</v>
      </c>
      <c r="Q30" s="6">
        <f t="shared" si="15"/>
        <v>458613.61320852576</v>
      </c>
      <c r="R30" s="6">
        <f t="shared" si="15"/>
        <v>494226.52858783654</v>
      </c>
      <c r="S30" s="6">
        <f t="shared" si="15"/>
        <v>529928.47625559568</v>
      </c>
      <c r="T30" s="6">
        <f t="shared" si="15"/>
        <v>565719.67879252415</v>
      </c>
      <c r="U30" s="6">
        <f t="shared" si="15"/>
        <v>601600.35933579493</v>
      </c>
      <c r="V30" s="6">
        <f t="shared" si="15"/>
        <v>637570.7415804239</v>
      </c>
      <c r="W30" s="6">
        <f t="shared" si="15"/>
        <v>673631.0497806645</v>
      </c>
      <c r="X30" s="6">
        <f t="shared" si="15"/>
        <v>709781.50875140564</v>
      </c>
      <c r="Y30" s="6">
        <f t="shared" si="15"/>
        <v>746022.34386957367</v>
      </c>
      <c r="Z30" s="6">
        <f t="shared" si="15"/>
        <v>782353.78107553709</v>
      </c>
      <c r="AA30" s="6">
        <f t="shared" si="15"/>
        <v>818776.04687451536</v>
      </c>
      <c r="AB30" s="6">
        <f t="shared" si="15"/>
        <v>855289.36833799118</v>
      </c>
      <c r="AC30" s="6">
        <f t="shared" si="15"/>
        <v>891893.97310512559</v>
      </c>
      <c r="AD30" s="6">
        <f t="shared" si="15"/>
        <v>928590.08938417793</v>
      </c>
      <c r="AE30" s="6">
        <f t="shared" si="15"/>
        <v>965377.94595392782</v>
      </c>
      <c r="AF30" s="6">
        <f t="shared" si="15"/>
        <v>1002257.7721651021</v>
      </c>
      <c r="AG30" s="6">
        <f t="shared" si="15"/>
        <v>1039229.7979418043</v>
      </c>
    </row>
    <row r="31" spans="1:33">
      <c r="C31" s="3"/>
      <c r="D31" s="3"/>
      <c r="E31" s="3"/>
      <c r="F31" s="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8" customHeight="1">
      <c r="A32" s="4" t="s">
        <v>31</v>
      </c>
      <c r="B32" s="5">
        <f>IF($B$4+(0.25*4)&gt;J32,J32,($B$4+(0.25*4)))</f>
        <v>64.25</v>
      </c>
      <c r="C32" s="4" t="s">
        <v>30</v>
      </c>
      <c r="D32" s="8" t="s">
        <v>124</v>
      </c>
      <c r="E32" s="13">
        <f>'Instrucciones de uso'!P56</f>
        <v>34.799999999999997</v>
      </c>
      <c r="F32" s="31">
        <f>'Instrucciones de uso'!Q56</f>
        <v>1</v>
      </c>
      <c r="G32" s="4" t="s">
        <v>126</v>
      </c>
      <c r="H32" s="8" t="s">
        <v>125</v>
      </c>
      <c r="I32" s="11"/>
      <c r="J32" s="13">
        <f>'Instrucciones de uso'!K56</f>
        <v>65.666600000000003</v>
      </c>
    </row>
    <row r="33" spans="1:33">
      <c r="A33" s="4" t="s">
        <v>28</v>
      </c>
      <c r="B33" s="32">
        <f>'Instrucciones de uso'!$E$12*B35</f>
        <v>2783.8376990519955</v>
      </c>
      <c r="C33" s="33">
        <f>INT((J32-B32)*4)</f>
        <v>5</v>
      </c>
      <c r="D33" s="4" t="s">
        <v>0</v>
      </c>
      <c r="E33" s="4" t="s">
        <v>1</v>
      </c>
      <c r="F33" s="4" t="s">
        <v>2</v>
      </c>
      <c r="G33" s="4" t="s">
        <v>3</v>
      </c>
      <c r="H33" s="4" t="s">
        <v>4</v>
      </c>
      <c r="I33" s="4" t="s">
        <v>5</v>
      </c>
      <c r="J33" s="4" t="s">
        <v>6</v>
      </c>
      <c r="K33" s="4" t="s">
        <v>7</v>
      </c>
      <c r="L33" s="4" t="s">
        <v>8</v>
      </c>
      <c r="M33" s="4" t="s">
        <v>9</v>
      </c>
      <c r="N33" s="4" t="s">
        <v>10</v>
      </c>
      <c r="O33" s="4" t="s">
        <v>11</v>
      </c>
      <c r="P33" s="4" t="s">
        <v>12</v>
      </c>
      <c r="Q33" s="4" t="s">
        <v>13</v>
      </c>
      <c r="R33" s="4" t="s">
        <v>14</v>
      </c>
      <c r="S33" s="4" t="s">
        <v>15</v>
      </c>
      <c r="T33" s="4" t="s">
        <v>16</v>
      </c>
      <c r="U33" s="4" t="s">
        <v>17</v>
      </c>
      <c r="V33" s="4" t="s">
        <v>18</v>
      </c>
      <c r="W33" s="4" t="s">
        <v>19</v>
      </c>
      <c r="X33" s="4" t="s">
        <v>20</v>
      </c>
      <c r="Y33" s="4" t="s">
        <v>21</v>
      </c>
      <c r="Z33" s="4" t="s">
        <v>22</v>
      </c>
      <c r="AA33" s="4" t="s">
        <v>23</v>
      </c>
      <c r="AB33" s="4" t="s">
        <v>24</v>
      </c>
      <c r="AC33" s="4" t="s">
        <v>25</v>
      </c>
      <c r="AD33" s="4" t="s">
        <v>26</v>
      </c>
      <c r="AE33" s="4" t="s">
        <v>27</v>
      </c>
      <c r="AF33" s="4" t="s">
        <v>32</v>
      </c>
      <c r="AG33" s="4" t="s">
        <v>33</v>
      </c>
    </row>
    <row r="34" spans="1:33">
      <c r="A34" s="4" t="s">
        <v>34</v>
      </c>
      <c r="B34" s="34">
        <f>IF('Instrucciones de uso'!A56&gt;'Instrucciones de uso'!L56,'Instrucciones de uso'!L56,'Instrucciones de uso'!A56)</f>
        <v>2019</v>
      </c>
      <c r="C34" s="35">
        <f>VLOOKUP(B34,'Instrucciones de uso'!$B$52:$E$61,4)</f>
        <v>2586.5845856249994</v>
      </c>
      <c r="D34" s="12">
        <f>IF($B32-$B$4&gt;=1,12*$I35,($B32-$B$4)*12*$I35)</f>
        <v>6600</v>
      </c>
      <c r="E34" s="12">
        <f>IF($B32-$B$4&gt;=2,12*$I35*1.0025,IF(AND($B32-$B$4&gt;1,$B32-$B$4&lt;2),($B32-$B$4-1)*12*$I35*1.0025,0))</f>
        <v>0</v>
      </c>
      <c r="F34" s="12">
        <f>IF($B32-$B$4&gt;=3,12*$I35*1.0025*1.0025,IF(AND($B32-$B$4&gt;2,$B32-$B$4&lt;3),($B32-$B$4-2)*12*$I35*1.0025*1.0025,0))</f>
        <v>0</v>
      </c>
      <c r="G34" s="12">
        <f>IF($B32-$B$4&gt;=4,12*$I35*1.0025*1.0025*1.0025,IF(AND($B32-$B$4&gt;3,$B32-$B$4&lt;4),($B32-$B$4-3)*12*$I35*1.0025*1.0025*1.0025,0))</f>
        <v>0</v>
      </c>
      <c r="H34" s="14" t="s">
        <v>122</v>
      </c>
      <c r="I34" s="7"/>
    </row>
    <row r="35" spans="1:33">
      <c r="A35" s="4" t="s">
        <v>107</v>
      </c>
      <c r="B35" s="30">
        <f>VLOOKUP(B34,'Instrucciones de uso'!$B$52:$F$61,5)</f>
        <v>0.99422774966142702</v>
      </c>
      <c r="C35" s="6">
        <f>C34*(100-(0.5*C33))/100</f>
        <v>2521.9199709843747</v>
      </c>
      <c r="D35" s="4" t="s">
        <v>123</v>
      </c>
      <c r="H35" s="8" t="s">
        <v>58</v>
      </c>
      <c r="I35" s="15">
        <f>'Instrucciones de uso'!$H$12</f>
        <v>550</v>
      </c>
    </row>
    <row r="36" spans="1:33">
      <c r="A36" s="8" t="s">
        <v>29</v>
      </c>
      <c r="B36" s="9">
        <f>IF(F32=1,(100-(C33*1.875))/100,IF(F32=2,(100-(C33*1.75))/100,IF(F32=3,(100-(C33*1.625))/100,(100-(C33*1.5))/100)))</f>
        <v>0.90625</v>
      </c>
      <c r="C36" s="10">
        <f>MIN(B33*B35*B36,C35)</f>
        <v>2508.2903761744437</v>
      </c>
      <c r="D36" s="6">
        <f>IF(B32-$B$4&gt;=1,0,C36*14*(1-(B32-$B$4)))</f>
        <v>0</v>
      </c>
      <c r="E36" s="6">
        <f>IF(D36&gt;0,C36*14*1.0025,IF(B32-$B$4&gt;=2,0,C36*14*1.0025*(1-(B32-$B$4-1))))</f>
        <v>35203.855429608309</v>
      </c>
      <c r="F36" s="6">
        <f>IF(E36&gt;0,C36*14*1.0025*1.0025,IF(B32-$B$4&gt;=3,0,C36*14*1.0025*1.0025*(1-(B32-$B$4-2))))</f>
        <v>35291.865068182327</v>
      </c>
      <c r="G36" s="6">
        <f>IF(F36&gt;0,C36*14*1.0025*1.0025*1.0025,IF(B32-$B$4&gt;=4,0,C36*14*1.0025*1.0025*1.0025*(1-(B32-$B$4-3))))</f>
        <v>35380.094730852783</v>
      </c>
      <c r="H36" s="6">
        <f>IF(G36&gt;0,C36*14*1.0025*1.0025*1.0025*1.0025,IF(B32-$B$4&gt;=5,0,C36*14*1.0025*1.0025*1.0025*1.0025*(1-(B32-$B$4-4))))</f>
        <v>35468.544967679911</v>
      </c>
      <c r="I36" s="6">
        <f t="shared" ref="I36:N36" si="16">H36*1.0025</f>
        <v>35557.216330099109</v>
      </c>
      <c r="J36" s="6">
        <f t="shared" si="16"/>
        <v>35646.109370924358</v>
      </c>
      <c r="K36" s="6">
        <f t="shared" si="16"/>
        <v>35735.224644351663</v>
      </c>
      <c r="L36" s="6">
        <f t="shared" si="16"/>
        <v>35824.56270596254</v>
      </c>
      <c r="M36" s="6">
        <f t="shared" si="16"/>
        <v>35914.124112727448</v>
      </c>
      <c r="N36" s="6">
        <f t="shared" si="16"/>
        <v>36003.909423009267</v>
      </c>
      <c r="O36" s="6">
        <f>N36*1.0025</f>
        <v>36093.919196566785</v>
      </c>
      <c r="P36" s="6">
        <f>O36*1.0025</f>
        <v>36184.153994558197</v>
      </c>
      <c r="Q36" s="6">
        <f t="shared" ref="Q36:AG36" si="17">P36*1.0025</f>
        <v>36274.61437954459</v>
      </c>
      <c r="R36" s="6">
        <f t="shared" si="17"/>
        <v>36365.300915493448</v>
      </c>
      <c r="S36" s="6">
        <f t="shared" si="17"/>
        <v>36456.214167782178</v>
      </c>
      <c r="T36" s="6">
        <f t="shared" si="17"/>
        <v>36547.354703201629</v>
      </c>
      <c r="U36" s="6">
        <f t="shared" si="17"/>
        <v>36638.723089959632</v>
      </c>
      <c r="V36" s="6">
        <f t="shared" si="17"/>
        <v>36730.319897684531</v>
      </c>
      <c r="W36" s="6">
        <f t="shared" si="17"/>
        <v>36822.145697428743</v>
      </c>
      <c r="X36" s="6">
        <f t="shared" si="17"/>
        <v>36914.201061672313</v>
      </c>
      <c r="Y36" s="6">
        <f t="shared" si="17"/>
        <v>37006.486564326493</v>
      </c>
      <c r="Z36" s="6">
        <f t="shared" si="17"/>
        <v>37099.002780737304</v>
      </c>
      <c r="AA36" s="6">
        <f t="shared" si="17"/>
        <v>37191.750287689145</v>
      </c>
      <c r="AB36" s="6">
        <f t="shared" si="17"/>
        <v>37284.729663408369</v>
      </c>
      <c r="AC36" s="6">
        <f t="shared" si="17"/>
        <v>37377.941487566888</v>
      </c>
      <c r="AD36" s="6">
        <f t="shared" si="17"/>
        <v>37471.386341285805</v>
      </c>
      <c r="AE36" s="6">
        <f t="shared" si="17"/>
        <v>37565.064807139017</v>
      </c>
      <c r="AF36" s="6">
        <f t="shared" si="17"/>
        <v>37658.97746915686</v>
      </c>
      <c r="AG36" s="6">
        <f t="shared" si="17"/>
        <v>37753.12491282975</v>
      </c>
    </row>
    <row r="37" spans="1:33">
      <c r="A37" s="4" t="s">
        <v>52</v>
      </c>
      <c r="B37" s="6">
        <f>C35-C36</f>
        <v>13.62959480993095</v>
      </c>
      <c r="C37" s="4" t="s">
        <v>57</v>
      </c>
      <c r="D37" s="6">
        <f>D36-D34</f>
        <v>-6600</v>
      </c>
      <c r="E37" s="6">
        <f>D37+E36-E34</f>
        <v>28603.855429608309</v>
      </c>
      <c r="F37" s="6">
        <f t="shared" ref="F37" si="18">E37+F36-F34</f>
        <v>63895.720497790637</v>
      </c>
      <c r="G37" s="6">
        <f t="shared" ref="G37" si="19">F37+G36-G34</f>
        <v>99275.81522864342</v>
      </c>
      <c r="H37" s="6">
        <f t="shared" ref="H37:AG37" si="20">G37+H36</f>
        <v>134744.36019632334</v>
      </c>
      <c r="I37" s="6">
        <f t="shared" si="20"/>
        <v>170301.57652642246</v>
      </c>
      <c r="J37" s="6">
        <f t="shared" si="20"/>
        <v>205947.68589734682</v>
      </c>
      <c r="K37" s="6">
        <f t="shared" si="20"/>
        <v>241682.91054169848</v>
      </c>
      <c r="L37" s="6">
        <f t="shared" si="20"/>
        <v>277507.47324766102</v>
      </c>
      <c r="M37" s="6">
        <f t="shared" si="20"/>
        <v>313421.59736038849</v>
      </c>
      <c r="N37" s="6">
        <f t="shared" si="20"/>
        <v>349425.50678339775</v>
      </c>
      <c r="O37" s="6">
        <f t="shared" si="20"/>
        <v>385519.42597996455</v>
      </c>
      <c r="P37" s="6">
        <f t="shared" si="20"/>
        <v>421703.57997452276</v>
      </c>
      <c r="Q37" s="6">
        <f t="shared" si="20"/>
        <v>457978.19435406732</v>
      </c>
      <c r="R37" s="6">
        <f t="shared" si="20"/>
        <v>494343.49526956078</v>
      </c>
      <c r="S37" s="6">
        <f t="shared" si="20"/>
        <v>530799.70943734294</v>
      </c>
      <c r="T37" s="6">
        <f t="shared" si="20"/>
        <v>567347.06414054462</v>
      </c>
      <c r="U37" s="6">
        <f t="shared" si="20"/>
        <v>603985.78723050421</v>
      </c>
      <c r="V37" s="6">
        <f t="shared" si="20"/>
        <v>640716.10712818871</v>
      </c>
      <c r="W37" s="6">
        <f t="shared" si="20"/>
        <v>677538.25282561744</v>
      </c>
      <c r="X37" s="6">
        <f t="shared" si="20"/>
        <v>714452.45388728974</v>
      </c>
      <c r="Y37" s="6">
        <f t="shared" si="20"/>
        <v>751458.94045161619</v>
      </c>
      <c r="Z37" s="6">
        <f t="shared" si="20"/>
        <v>788557.94323235354</v>
      </c>
      <c r="AA37" s="6">
        <f t="shared" si="20"/>
        <v>825749.6935200427</v>
      </c>
      <c r="AB37" s="6">
        <f t="shared" si="20"/>
        <v>863034.42318345106</v>
      </c>
      <c r="AC37" s="6">
        <f t="shared" si="20"/>
        <v>900412.36467101797</v>
      </c>
      <c r="AD37" s="6">
        <f t="shared" si="20"/>
        <v>937883.75101230375</v>
      </c>
      <c r="AE37" s="6">
        <f t="shared" si="20"/>
        <v>975448.81581944274</v>
      </c>
      <c r="AF37" s="6">
        <f t="shared" si="20"/>
        <v>1013107.7932885996</v>
      </c>
      <c r="AG37" s="6">
        <f t="shared" si="20"/>
        <v>1050860.9182014293</v>
      </c>
    </row>
    <row r="38" spans="1:33">
      <c r="F38" s="1"/>
    </row>
    <row r="39" spans="1:33" ht="18" customHeight="1">
      <c r="A39" s="4" t="s">
        <v>31</v>
      </c>
      <c r="B39" s="5">
        <f>IF($B$4+(0.25*5)&gt;J39,J39,($B$4+(0.25*5)))</f>
        <v>64.5</v>
      </c>
      <c r="C39" s="4" t="s">
        <v>30</v>
      </c>
      <c r="D39" s="8" t="s">
        <v>124</v>
      </c>
      <c r="E39" s="13">
        <f>'Instrucciones de uso'!P57</f>
        <v>35.049999999999997</v>
      </c>
      <c r="F39" s="31">
        <f>'Instrucciones de uso'!Q57</f>
        <v>1</v>
      </c>
      <c r="G39" s="4" t="s">
        <v>126</v>
      </c>
      <c r="H39" s="8" t="s">
        <v>125</v>
      </c>
      <c r="I39" s="11"/>
      <c r="J39" s="13">
        <f>'Instrucciones de uso'!K57</f>
        <v>65.666600000000003</v>
      </c>
    </row>
    <row r="40" spans="1:33">
      <c r="A40" s="4" t="s">
        <v>28</v>
      </c>
      <c r="B40" s="32">
        <f>'Instrucciones de uso'!$E$12*B42</f>
        <v>2783.8376990519955</v>
      </c>
      <c r="C40" s="33">
        <f>INT((J39-B39)*4)</f>
        <v>4</v>
      </c>
      <c r="D40" s="4" t="s">
        <v>0</v>
      </c>
      <c r="E40" s="4" t="s">
        <v>1</v>
      </c>
      <c r="F40" s="4" t="s">
        <v>2</v>
      </c>
      <c r="G40" s="4" t="s">
        <v>3</v>
      </c>
      <c r="H40" s="4" t="s">
        <v>4</v>
      </c>
      <c r="I40" s="4" t="s">
        <v>5</v>
      </c>
      <c r="J40" s="4" t="s">
        <v>6</v>
      </c>
      <c r="K40" s="4" t="s">
        <v>7</v>
      </c>
      <c r="L40" s="4" t="s">
        <v>8</v>
      </c>
      <c r="M40" s="4" t="s">
        <v>9</v>
      </c>
      <c r="N40" s="4" t="s">
        <v>10</v>
      </c>
      <c r="O40" s="4" t="s">
        <v>11</v>
      </c>
      <c r="P40" s="4" t="s">
        <v>12</v>
      </c>
      <c r="Q40" s="4" t="s">
        <v>13</v>
      </c>
      <c r="R40" s="4" t="s">
        <v>14</v>
      </c>
      <c r="S40" s="4" t="s">
        <v>15</v>
      </c>
      <c r="T40" s="4" t="s">
        <v>16</v>
      </c>
      <c r="U40" s="4" t="s">
        <v>17</v>
      </c>
      <c r="V40" s="4" t="s">
        <v>18</v>
      </c>
      <c r="W40" s="4" t="s">
        <v>19</v>
      </c>
      <c r="X40" s="4" t="s">
        <v>20</v>
      </c>
      <c r="Y40" s="4" t="s">
        <v>21</v>
      </c>
      <c r="Z40" s="4" t="s">
        <v>22</v>
      </c>
      <c r="AA40" s="4" t="s">
        <v>23</v>
      </c>
      <c r="AB40" s="4" t="s">
        <v>24</v>
      </c>
      <c r="AC40" s="4" t="s">
        <v>25</v>
      </c>
      <c r="AD40" s="4" t="s">
        <v>26</v>
      </c>
      <c r="AE40" s="4" t="s">
        <v>27</v>
      </c>
      <c r="AF40" s="4" t="s">
        <v>32</v>
      </c>
      <c r="AG40" s="4" t="s">
        <v>33</v>
      </c>
    </row>
    <row r="41" spans="1:33">
      <c r="A41" s="4" t="s">
        <v>34</v>
      </c>
      <c r="B41" s="34">
        <f>IF('Instrucciones de uso'!A57&gt;'Instrucciones de uso'!L57,'Instrucciones de uso'!L57,'Instrucciones de uso'!A57)</f>
        <v>2019</v>
      </c>
      <c r="C41" s="35">
        <f>VLOOKUP(B41,'Instrucciones de uso'!$B$52:$E$61,4)</f>
        <v>2586.5845856249994</v>
      </c>
      <c r="D41" s="12">
        <f>IF($B39-$B$4&gt;=1,12*$I42,($B39-$B$4)*12*$I42)</f>
        <v>6600</v>
      </c>
      <c r="E41" s="12">
        <f>IF($B39-$B$4&gt;=2,12*$I42*1.0025,IF(AND($B39-$B$4&gt;1,$B39-$B$4&lt;2),($B39-$B$4-1)*12*$I42*1.0025,0))</f>
        <v>1654.125</v>
      </c>
      <c r="F41" s="12">
        <f>IF($B39-$B$4&gt;=3,12*$I42*1.0025*1.0025,IF(AND($B39-$B$4&gt;2,$B39-$B$4&lt;3),($B39-$B$4-2)*12*$I42*1.0025*1.0025,0))</f>
        <v>0</v>
      </c>
      <c r="G41" s="12">
        <f>IF($B39-$B$4&gt;=4,12*$I42*1.0025*1.0025*1.0025,IF(AND($B39-$B$4&gt;3,$B39-$B$4&lt;4),($B39-$B$4-3)*12*$I42*1.0025*1.0025*1.0025,0))</f>
        <v>0</v>
      </c>
      <c r="H41" s="14" t="s">
        <v>122</v>
      </c>
      <c r="I41" s="7"/>
    </row>
    <row r="42" spans="1:33">
      <c r="A42" s="4" t="s">
        <v>107</v>
      </c>
      <c r="B42" s="30">
        <f>VLOOKUP(B41,'Instrucciones de uso'!$B$52:$F$61,5)</f>
        <v>0.99422774966142702</v>
      </c>
      <c r="C42" s="6">
        <f>C41*(100-(0.5*C40))/100</f>
        <v>2534.8528939124994</v>
      </c>
      <c r="D42" s="4" t="s">
        <v>123</v>
      </c>
      <c r="H42" s="8" t="s">
        <v>58</v>
      </c>
      <c r="I42" s="15">
        <f>'Instrucciones de uso'!$H$12</f>
        <v>550</v>
      </c>
    </row>
    <row r="43" spans="1:33">
      <c r="A43" s="8" t="s">
        <v>29</v>
      </c>
      <c r="B43" s="9">
        <f>IF(F39=1,(100-(C40*1.875))/100,IF(F39=2,(100-(C40*1.75))/100,IF(F39=3,(100-(C40*1.625))/100,(100-(C40*1.5))/100)))</f>
        <v>0.92500000000000004</v>
      </c>
      <c r="C43" s="10">
        <f>MIN(B40*B42*B43,C42)</f>
        <v>2534.8528939124994</v>
      </c>
      <c r="D43" s="6">
        <f>IF(B39-$B$4&gt;=1,0,C43*14*(1-(B39-$B$4)))</f>
        <v>0</v>
      </c>
      <c r="E43" s="6">
        <f>IF(D43&gt;0,C43*14*1.0025,IF(B39-$B$4&gt;=2,0,C43*14*1.0025*(1-(B39-$B$4-1))))</f>
        <v>26682.495274546447</v>
      </c>
      <c r="F43" s="6">
        <f>IF(E43&gt;0,C43*14*1.0025*1.0025,IF(B39-$B$4&gt;=3,0,C43*14*1.0025*1.0025*(1-(B39-$B$4-2))))</f>
        <v>35665.602016977085</v>
      </c>
      <c r="G43" s="6">
        <f>IF(F43&gt;0,C43*14*1.0025*1.0025*1.0025,IF(B39-$B$4&gt;=4,0,C43*14*1.0025*1.0025*1.0025*(1-(B39-$B$4-3))))</f>
        <v>35754.766022019525</v>
      </c>
      <c r="H43" s="6">
        <f>IF(G43&gt;0,C43*14*1.0025*1.0025*1.0025*1.0025,IF(B39-$B$4&gt;=5,0,C43*14*1.0025*1.0025*1.0025*1.0025*(1-(B39-$B$4-4))))</f>
        <v>35844.15293707457</v>
      </c>
      <c r="I43" s="6">
        <f t="shared" ref="I43:AG43" si="21">H43*1.0025</f>
        <v>35933.763319417252</v>
      </c>
      <c r="J43" s="6">
        <f t="shared" si="21"/>
        <v>36023.597727715794</v>
      </c>
      <c r="K43" s="6">
        <f t="shared" si="21"/>
        <v>36113.656722035084</v>
      </c>
      <c r="L43" s="6">
        <f t="shared" si="21"/>
        <v>36203.940863840173</v>
      </c>
      <c r="M43" s="6">
        <f t="shared" si="21"/>
        <v>36294.450715999774</v>
      </c>
      <c r="N43" s="6">
        <f t="shared" si="21"/>
        <v>36385.186842789772</v>
      </c>
      <c r="O43" s="6">
        <f t="shared" si="21"/>
        <v>36476.149809896742</v>
      </c>
      <c r="P43" s="6">
        <f t="shared" si="21"/>
        <v>36567.340184421482</v>
      </c>
      <c r="Q43" s="6">
        <f t="shared" si="21"/>
        <v>36658.758534882531</v>
      </c>
      <c r="R43" s="6">
        <f t="shared" si="21"/>
        <v>36750.405431219733</v>
      </c>
      <c r="S43" s="6">
        <f t="shared" si="21"/>
        <v>36842.28144479778</v>
      </c>
      <c r="T43" s="6">
        <f t="shared" si="21"/>
        <v>36934.387148409769</v>
      </c>
      <c r="U43" s="6">
        <f t="shared" si="21"/>
        <v>37026.723116280795</v>
      </c>
      <c r="V43" s="6">
        <f t="shared" si="21"/>
        <v>37119.289924071498</v>
      </c>
      <c r="W43" s="6">
        <f t="shared" si="21"/>
        <v>37212.088148881674</v>
      </c>
      <c r="X43" s="6">
        <f t="shared" si="21"/>
        <v>37305.118369253876</v>
      </c>
      <c r="Y43" s="6">
        <f t="shared" si="21"/>
        <v>37398.381165177008</v>
      </c>
      <c r="Z43" s="6">
        <f t="shared" si="21"/>
        <v>37491.877118089949</v>
      </c>
      <c r="AA43" s="6">
        <f t="shared" si="21"/>
        <v>37585.606810885169</v>
      </c>
      <c r="AB43" s="6">
        <f t="shared" si="21"/>
        <v>37679.570827912379</v>
      </c>
      <c r="AC43" s="6">
        <f t="shared" si="21"/>
        <v>37773.769754982161</v>
      </c>
      <c r="AD43" s="6">
        <f t="shared" si="21"/>
        <v>37868.204179369612</v>
      </c>
      <c r="AE43" s="6">
        <f t="shared" si="21"/>
        <v>37962.874689818032</v>
      </c>
      <c r="AF43" s="6">
        <f t="shared" si="21"/>
        <v>38057.781876542576</v>
      </c>
      <c r="AG43" s="6">
        <f t="shared" si="21"/>
        <v>38152.926331233932</v>
      </c>
    </row>
    <row r="44" spans="1:33">
      <c r="A44" s="4" t="s">
        <v>52</v>
      </c>
      <c r="B44" s="6">
        <f>C42-C43</f>
        <v>0</v>
      </c>
      <c r="C44" s="4" t="s">
        <v>57</v>
      </c>
      <c r="D44" s="6">
        <f>D43-D41</f>
        <v>-6600</v>
      </c>
      <c r="E44" s="6">
        <f>D44+E43-E41</f>
        <v>18428.370274546447</v>
      </c>
      <c r="F44" s="6">
        <f t="shared" ref="F44" si="22">E44+F43-F41</f>
        <v>54093.972291523532</v>
      </c>
      <c r="G44" s="6">
        <f t="shared" ref="G44" si="23">F44+G43-G41</f>
        <v>89848.738313543057</v>
      </c>
      <c r="H44" s="6">
        <f t="shared" ref="H44:AG44" si="24">G44+H43</f>
        <v>125692.89125061763</v>
      </c>
      <c r="I44" s="6">
        <f t="shared" si="24"/>
        <v>161626.65457003488</v>
      </c>
      <c r="J44" s="6">
        <f t="shared" si="24"/>
        <v>197650.25229775067</v>
      </c>
      <c r="K44" s="6">
        <f t="shared" si="24"/>
        <v>233763.90901978576</v>
      </c>
      <c r="L44" s="6">
        <f t="shared" si="24"/>
        <v>269967.84988362592</v>
      </c>
      <c r="M44" s="6">
        <f t="shared" si="24"/>
        <v>306262.30059962568</v>
      </c>
      <c r="N44" s="6">
        <f t="shared" si="24"/>
        <v>342647.48744241544</v>
      </c>
      <c r="O44" s="6">
        <f t="shared" si="24"/>
        <v>379123.63725231215</v>
      </c>
      <c r="P44" s="6">
        <f t="shared" si="24"/>
        <v>415690.97743673366</v>
      </c>
      <c r="Q44" s="6">
        <f t="shared" si="24"/>
        <v>452349.73597161617</v>
      </c>
      <c r="R44" s="6">
        <f t="shared" si="24"/>
        <v>489100.1414028359</v>
      </c>
      <c r="S44" s="6">
        <f t="shared" si="24"/>
        <v>525942.42284763372</v>
      </c>
      <c r="T44" s="6">
        <f t="shared" si="24"/>
        <v>562876.80999604345</v>
      </c>
      <c r="U44" s="6">
        <f t="shared" si="24"/>
        <v>599903.53311232419</v>
      </c>
      <c r="V44" s="6">
        <f t="shared" si="24"/>
        <v>637022.82303639571</v>
      </c>
      <c r="W44" s="6">
        <f t="shared" si="24"/>
        <v>674234.91118527739</v>
      </c>
      <c r="X44" s="6">
        <f t="shared" si="24"/>
        <v>711540.02955453121</v>
      </c>
      <c r="Y44" s="6">
        <f t="shared" si="24"/>
        <v>748938.41071970819</v>
      </c>
      <c r="Z44" s="6">
        <f t="shared" si="24"/>
        <v>786430.28783779813</v>
      </c>
      <c r="AA44" s="6">
        <f t="shared" si="24"/>
        <v>824015.89464868326</v>
      </c>
      <c r="AB44" s="6">
        <f t="shared" si="24"/>
        <v>861695.46547659568</v>
      </c>
      <c r="AC44" s="6">
        <f t="shared" si="24"/>
        <v>899469.23523157788</v>
      </c>
      <c r="AD44" s="6">
        <f t="shared" si="24"/>
        <v>937337.4394109475</v>
      </c>
      <c r="AE44" s="6">
        <f t="shared" si="24"/>
        <v>975300.31410076551</v>
      </c>
      <c r="AF44" s="6">
        <f t="shared" si="24"/>
        <v>1013358.0959773081</v>
      </c>
      <c r="AG44" s="6">
        <f t="shared" si="24"/>
        <v>1051511.0223085419</v>
      </c>
    </row>
    <row r="45" spans="1:33">
      <c r="F45" s="1"/>
    </row>
    <row r="46" spans="1:33" ht="18" customHeight="1">
      <c r="A46" s="4" t="s">
        <v>31</v>
      </c>
      <c r="B46" s="5">
        <f>IF($B$4+(0.25*6)&gt;J46,J46,($B$4+(0.25*6)))</f>
        <v>64.75</v>
      </c>
      <c r="C46" s="4" t="s">
        <v>30</v>
      </c>
      <c r="D46" s="8" t="s">
        <v>124</v>
      </c>
      <c r="E46" s="13">
        <f>'Instrucciones de uso'!P58</f>
        <v>35.299999999999997</v>
      </c>
      <c r="F46" s="31">
        <f>'Instrucciones de uso'!Q58</f>
        <v>1</v>
      </c>
      <c r="G46" s="4" t="s">
        <v>126</v>
      </c>
      <c r="H46" s="8" t="s">
        <v>125</v>
      </c>
      <c r="I46" s="11"/>
      <c r="J46" s="13">
        <f>'Instrucciones de uso'!K58</f>
        <v>65.666600000000003</v>
      </c>
    </row>
    <row r="47" spans="1:33">
      <c r="A47" s="4" t="s">
        <v>28</v>
      </c>
      <c r="B47" s="32">
        <f>'Instrucciones de uso'!$E$12*B49</f>
        <v>2783.8376990519955</v>
      </c>
      <c r="C47" s="33">
        <f>INT((J46-B46)*4)</f>
        <v>3</v>
      </c>
      <c r="D47" s="4" t="s">
        <v>0</v>
      </c>
      <c r="E47" s="4" t="s">
        <v>1</v>
      </c>
      <c r="F47" s="4" t="s">
        <v>2</v>
      </c>
      <c r="G47" s="4" t="s">
        <v>3</v>
      </c>
      <c r="H47" s="4" t="s">
        <v>4</v>
      </c>
      <c r="I47" s="4" t="s">
        <v>5</v>
      </c>
      <c r="J47" s="4" t="s">
        <v>6</v>
      </c>
      <c r="K47" s="4" t="s">
        <v>7</v>
      </c>
      <c r="L47" s="4" t="s">
        <v>8</v>
      </c>
      <c r="M47" s="4" t="s">
        <v>9</v>
      </c>
      <c r="N47" s="4" t="s">
        <v>10</v>
      </c>
      <c r="O47" s="4" t="s">
        <v>11</v>
      </c>
      <c r="P47" s="4" t="s">
        <v>12</v>
      </c>
      <c r="Q47" s="4" t="s">
        <v>13</v>
      </c>
      <c r="R47" s="4" t="s">
        <v>14</v>
      </c>
      <c r="S47" s="4" t="s">
        <v>15</v>
      </c>
      <c r="T47" s="4" t="s">
        <v>16</v>
      </c>
      <c r="U47" s="4" t="s">
        <v>17</v>
      </c>
      <c r="V47" s="4" t="s">
        <v>18</v>
      </c>
      <c r="W47" s="4" t="s">
        <v>19</v>
      </c>
      <c r="X47" s="4" t="s">
        <v>20</v>
      </c>
      <c r="Y47" s="4" t="s">
        <v>21</v>
      </c>
      <c r="Z47" s="4" t="s">
        <v>22</v>
      </c>
      <c r="AA47" s="4" t="s">
        <v>23</v>
      </c>
      <c r="AB47" s="4" t="s">
        <v>24</v>
      </c>
      <c r="AC47" s="4" t="s">
        <v>25</v>
      </c>
      <c r="AD47" s="4" t="s">
        <v>26</v>
      </c>
      <c r="AE47" s="4" t="s">
        <v>27</v>
      </c>
      <c r="AF47" s="4" t="s">
        <v>32</v>
      </c>
      <c r="AG47" s="4" t="s">
        <v>33</v>
      </c>
    </row>
    <row r="48" spans="1:33">
      <c r="A48" s="4" t="s">
        <v>34</v>
      </c>
      <c r="B48" s="34">
        <f>IF('Instrucciones de uso'!A58&gt;'Instrucciones de uso'!L58,'Instrucciones de uso'!L58,'Instrucciones de uso'!A58)</f>
        <v>2019</v>
      </c>
      <c r="C48" s="35">
        <f>VLOOKUP(B48,'Instrucciones de uso'!$B$52:$E$61,4)</f>
        <v>2586.5845856249994</v>
      </c>
      <c r="D48" s="12">
        <f>IF($B46-$B$4&gt;=1,12*$I49,($B46-$B$4)*12*$I49)</f>
        <v>6600</v>
      </c>
      <c r="E48" s="12">
        <f>IF($B46-$B$4&gt;=2,12*$I49*1.0025,IF(AND($B46-$B$4&gt;1,$B46-$B$4&lt;2),($B46-$B$4-1)*12*$I49*1.0025,0))</f>
        <v>3308.25</v>
      </c>
      <c r="F48" s="12">
        <f>IF($B46-$B$4&gt;=3,12*$I49*1.0025*1.0025,IF(AND($B46-$B$4&gt;2,$B46-$B$4&lt;3),($B46-$B$4-2)*12*$I49*1.0025*1.0025,0))</f>
        <v>0</v>
      </c>
      <c r="G48" s="12">
        <f>IF($B46-$B$4&gt;=4,12*$I49*1.0025*1.0025*1.0025,IF(AND($B46-$B$4&gt;3,$B46-$B$4&lt;4),($B46-$B$4-3)*12*$I49*1.0025*1.0025*1.0025,0))</f>
        <v>0</v>
      </c>
      <c r="H48" s="14" t="s">
        <v>122</v>
      </c>
      <c r="I48" s="7"/>
    </row>
    <row r="49" spans="1:33">
      <c r="A49" s="4" t="s">
        <v>107</v>
      </c>
      <c r="B49" s="30">
        <f>VLOOKUP(B48,'Instrucciones de uso'!$B$52:$F$61,5)</f>
        <v>0.99422774966142702</v>
      </c>
      <c r="C49" s="6">
        <f>C48*(100-(0.5*C47))/100</f>
        <v>2547.7858168406242</v>
      </c>
      <c r="D49" s="4" t="s">
        <v>123</v>
      </c>
      <c r="H49" s="8" t="s">
        <v>58</v>
      </c>
      <c r="I49" s="15">
        <f>'Instrucciones de uso'!$H$12</f>
        <v>550</v>
      </c>
    </row>
    <row r="50" spans="1:33">
      <c r="A50" s="8" t="s">
        <v>29</v>
      </c>
      <c r="B50" s="9">
        <f>IF(F46=1,(100-(C47*1.875))/100,IF(F46=2,(100-(C47*1.75))/100,IF(F46=3,(100-(C47*1.625))/100,(100-(C47*1.5))/100)))</f>
        <v>0.94374999999999998</v>
      </c>
      <c r="C50" s="10">
        <f>MIN(B47*B49*B50,C49)</f>
        <v>2547.7858168406242</v>
      </c>
      <c r="D50" s="6">
        <f>IF(B46-$B$4&gt;=1,0,C50*14*(1-(B46-$B$4)))</f>
        <v>0</v>
      </c>
      <c r="E50" s="6">
        <f>IF(D50&gt;0,C50*14*1.0025,IF(B46-$B$4&gt;=2,0,C50*14*1.0025*(1-(B46-$B$4-1))))</f>
        <v>17879.08696967908</v>
      </c>
      <c r="F50" s="6">
        <f>IF(E50&gt;0,C50*14*1.0025*1.0025,IF(B46-$B$4&gt;=3,0,C50*14*1.0025*1.0025*(1-(B46-$B$4-2))))</f>
        <v>35847.569374206556</v>
      </c>
      <c r="G50" s="6">
        <f>IF(F50&gt;0,C50*14*1.0025*1.0025*1.0025,IF(B46-$B$4&gt;=4,0,C50*14*1.0025*1.0025*1.0025*(1-(B46-$B$4-3))))</f>
        <v>35937.188297642067</v>
      </c>
      <c r="H50" s="6">
        <f>IF(G50&gt;0,C50*14*1.0025*1.0025*1.0025*1.0025,IF(B46-$B$4&gt;=5,0,C50*14*1.0025*1.0025*1.0025*1.0025*(1-(B46-$B$4-4))))</f>
        <v>36027.03126838617</v>
      </c>
      <c r="I50" s="6">
        <f t="shared" ref="I50:AG50" si="25">H50*1.0025</f>
        <v>36117.098846557135</v>
      </c>
      <c r="J50" s="6">
        <f t="shared" si="25"/>
        <v>36207.391593673528</v>
      </c>
      <c r="K50" s="6">
        <f t="shared" si="25"/>
        <v>36297.910072657709</v>
      </c>
      <c r="L50" s="6">
        <f t="shared" si="25"/>
        <v>36388.654847839352</v>
      </c>
      <c r="M50" s="6">
        <f t="shared" si="25"/>
        <v>36479.62648495895</v>
      </c>
      <c r="N50" s="6">
        <f t="shared" si="25"/>
        <v>36570.825551171343</v>
      </c>
      <c r="O50" s="6">
        <f t="shared" si="25"/>
        <v>36662.25261504927</v>
      </c>
      <c r="P50" s="6">
        <f t="shared" si="25"/>
        <v>36753.908246586892</v>
      </c>
      <c r="Q50" s="6">
        <f t="shared" si="25"/>
        <v>36845.793017203359</v>
      </c>
      <c r="R50" s="6">
        <f t="shared" si="25"/>
        <v>36937.907499746369</v>
      </c>
      <c r="S50" s="6">
        <f t="shared" si="25"/>
        <v>37030.252268495729</v>
      </c>
      <c r="T50" s="6">
        <f t="shared" si="25"/>
        <v>37122.827899166965</v>
      </c>
      <c r="U50" s="6">
        <f t="shared" si="25"/>
        <v>37215.634968914877</v>
      </c>
      <c r="V50" s="6">
        <f t="shared" si="25"/>
        <v>37308.674056337164</v>
      </c>
      <c r="W50" s="6">
        <f t="shared" si="25"/>
        <v>37401.945741478004</v>
      </c>
      <c r="X50" s="6">
        <f t="shared" si="25"/>
        <v>37495.450605831698</v>
      </c>
      <c r="Y50" s="6">
        <f t="shared" si="25"/>
        <v>37589.189232346274</v>
      </c>
      <c r="Z50" s="6">
        <f t="shared" si="25"/>
        <v>37683.162205427136</v>
      </c>
      <c r="AA50" s="6">
        <f t="shared" si="25"/>
        <v>37777.370110940705</v>
      </c>
      <c r="AB50" s="6">
        <f t="shared" si="25"/>
        <v>37871.813536218055</v>
      </c>
      <c r="AC50" s="6">
        <f t="shared" si="25"/>
        <v>37966.493070058597</v>
      </c>
      <c r="AD50" s="6">
        <f t="shared" si="25"/>
        <v>38061.409302733744</v>
      </c>
      <c r="AE50" s="6">
        <f t="shared" si="25"/>
        <v>38156.562825990579</v>
      </c>
      <c r="AF50" s="6">
        <f t="shared" si="25"/>
        <v>38251.954233055556</v>
      </c>
      <c r="AG50" s="6">
        <f t="shared" si="25"/>
        <v>38347.584118638195</v>
      </c>
    </row>
    <row r="51" spans="1:33">
      <c r="A51" s="4" t="s">
        <v>52</v>
      </c>
      <c r="B51" s="6">
        <f>C49-C50</f>
        <v>0</v>
      </c>
      <c r="C51" s="4" t="s">
        <v>57</v>
      </c>
      <c r="D51" s="6">
        <f>D50-D48</f>
        <v>-6600</v>
      </c>
      <c r="E51" s="6">
        <f>D51+E50-E48</f>
        <v>7970.8369696790796</v>
      </c>
      <c r="F51" s="6">
        <f t="shared" ref="F51" si="26">E51+F50-F48</f>
        <v>43818.406343885639</v>
      </c>
      <c r="G51" s="6">
        <f t="shared" ref="G51" si="27">F51+G50-G48</f>
        <v>79755.594641527714</v>
      </c>
      <c r="H51" s="6">
        <f t="shared" ref="H51:AG51" si="28">G51+H50</f>
        <v>115782.62590991388</v>
      </c>
      <c r="I51" s="6">
        <f t="shared" si="28"/>
        <v>151899.72475647103</v>
      </c>
      <c r="J51" s="6">
        <f t="shared" si="28"/>
        <v>188107.11635014456</v>
      </c>
      <c r="K51" s="6">
        <f t="shared" si="28"/>
        <v>224405.02642280227</v>
      </c>
      <c r="L51" s="6">
        <f t="shared" si="28"/>
        <v>260793.68127064162</v>
      </c>
      <c r="M51" s="6">
        <f t="shared" si="28"/>
        <v>297273.30775560054</v>
      </c>
      <c r="N51" s="6">
        <f t="shared" si="28"/>
        <v>333844.13330677187</v>
      </c>
      <c r="O51" s="6">
        <f t="shared" si="28"/>
        <v>370506.38592182111</v>
      </c>
      <c r="P51" s="6">
        <f t="shared" si="28"/>
        <v>407260.29416840803</v>
      </c>
      <c r="Q51" s="6">
        <f t="shared" si="28"/>
        <v>444106.08718561137</v>
      </c>
      <c r="R51" s="6">
        <f t="shared" si="28"/>
        <v>481043.99468535773</v>
      </c>
      <c r="S51" s="6">
        <f t="shared" si="28"/>
        <v>518074.24695385346</v>
      </c>
      <c r="T51" s="6">
        <f t="shared" si="28"/>
        <v>555197.07485302049</v>
      </c>
      <c r="U51" s="6">
        <f t="shared" si="28"/>
        <v>592412.70982193539</v>
      </c>
      <c r="V51" s="6">
        <f t="shared" si="28"/>
        <v>629721.38387827261</v>
      </c>
      <c r="W51" s="6">
        <f t="shared" si="28"/>
        <v>667123.32961975061</v>
      </c>
      <c r="X51" s="6">
        <f t="shared" si="28"/>
        <v>704618.7802255823</v>
      </c>
      <c r="Y51" s="6">
        <f t="shared" si="28"/>
        <v>742207.96945792856</v>
      </c>
      <c r="Z51" s="6">
        <f t="shared" si="28"/>
        <v>779891.13166335574</v>
      </c>
      <c r="AA51" s="6">
        <f t="shared" si="28"/>
        <v>817668.5017742964</v>
      </c>
      <c r="AB51" s="6">
        <f t="shared" si="28"/>
        <v>855540.31531051442</v>
      </c>
      <c r="AC51" s="6">
        <f t="shared" si="28"/>
        <v>893506.80838057306</v>
      </c>
      <c r="AD51" s="6">
        <f t="shared" si="28"/>
        <v>931568.21768330678</v>
      </c>
      <c r="AE51" s="6">
        <f t="shared" si="28"/>
        <v>969724.78050929739</v>
      </c>
      <c r="AF51" s="6">
        <f t="shared" si="28"/>
        <v>1007976.734742353</v>
      </c>
      <c r="AG51" s="6">
        <f t="shared" si="28"/>
        <v>1046324.3188609912</v>
      </c>
    </row>
    <row r="52" spans="1:33">
      <c r="B52" s="3"/>
      <c r="D52" s="3"/>
      <c r="E52" s="3"/>
      <c r="F52" s="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8" customHeight="1">
      <c r="A53" s="4" t="s">
        <v>31</v>
      </c>
      <c r="B53" s="5">
        <f>IF($B$4+(0.25*7)&gt;J53,J53,($B$4+(0.25*7)))</f>
        <v>65</v>
      </c>
      <c r="C53" s="4" t="s">
        <v>30</v>
      </c>
      <c r="D53" s="8" t="s">
        <v>124</v>
      </c>
      <c r="E53" s="13">
        <f>'Instrucciones de uso'!P59</f>
        <v>35.549999999999997</v>
      </c>
      <c r="F53" s="31">
        <f>'Instrucciones de uso'!Q59</f>
        <v>1</v>
      </c>
      <c r="G53" s="4" t="s">
        <v>126</v>
      </c>
      <c r="H53" s="8" t="s">
        <v>125</v>
      </c>
      <c r="I53" s="11"/>
      <c r="J53" s="13">
        <f>'Instrucciones de uso'!K59</f>
        <v>65.833299999999994</v>
      </c>
    </row>
    <row r="54" spans="1:33">
      <c r="A54" s="4" t="s">
        <v>28</v>
      </c>
      <c r="B54" s="32">
        <f>'Instrucciones de uso'!$E$12*B56</f>
        <v>2767.7686909511108</v>
      </c>
      <c r="C54" s="33">
        <f>INT((J53-B53)*4)</f>
        <v>3</v>
      </c>
      <c r="D54" s="4" t="s">
        <v>0</v>
      </c>
      <c r="E54" s="4" t="s">
        <v>1</v>
      </c>
      <c r="F54" s="4" t="s">
        <v>2</v>
      </c>
      <c r="G54" s="4" t="s">
        <v>3</v>
      </c>
      <c r="H54" s="4" t="s">
        <v>4</v>
      </c>
      <c r="I54" s="4" t="s">
        <v>5</v>
      </c>
      <c r="J54" s="4" t="s">
        <v>6</v>
      </c>
      <c r="K54" s="4" t="s">
        <v>7</v>
      </c>
      <c r="L54" s="4" t="s">
        <v>8</v>
      </c>
      <c r="M54" s="4" t="s">
        <v>9</v>
      </c>
      <c r="N54" s="4" t="s">
        <v>10</v>
      </c>
      <c r="O54" s="4" t="s">
        <v>11</v>
      </c>
      <c r="P54" s="4" t="s">
        <v>12</v>
      </c>
      <c r="Q54" s="4" t="s">
        <v>13</v>
      </c>
      <c r="R54" s="4" t="s">
        <v>14</v>
      </c>
      <c r="S54" s="4" t="s">
        <v>15</v>
      </c>
      <c r="T54" s="4" t="s">
        <v>16</v>
      </c>
      <c r="U54" s="4" t="s">
        <v>17</v>
      </c>
      <c r="V54" s="4" t="s">
        <v>18</v>
      </c>
      <c r="W54" s="4" t="s">
        <v>19</v>
      </c>
      <c r="X54" s="4" t="s">
        <v>20</v>
      </c>
      <c r="Y54" s="4" t="s">
        <v>21</v>
      </c>
      <c r="Z54" s="4" t="s">
        <v>22</v>
      </c>
      <c r="AA54" s="4" t="s">
        <v>23</v>
      </c>
      <c r="AB54" s="4" t="s">
        <v>24</v>
      </c>
      <c r="AC54" s="4" t="s">
        <v>25</v>
      </c>
      <c r="AD54" s="4" t="s">
        <v>26</v>
      </c>
      <c r="AE54" s="4" t="s">
        <v>27</v>
      </c>
      <c r="AF54" s="4" t="s">
        <v>32</v>
      </c>
      <c r="AG54" s="4" t="s">
        <v>33</v>
      </c>
    </row>
    <row r="55" spans="1:33">
      <c r="A55" s="4" t="s">
        <v>34</v>
      </c>
      <c r="B55" s="34">
        <f>IF('Instrucciones de uso'!A59&gt;'Instrucciones de uso'!L59,'Instrucciones de uso'!L59,'Instrucciones de uso'!A59)</f>
        <v>2020</v>
      </c>
      <c r="C55" s="35">
        <f>VLOOKUP(B55,'Instrucciones de uso'!$B$52:$E$61,4)</f>
        <v>2593.0510470890617</v>
      </c>
      <c r="D55" s="12">
        <f>IF($B53-$B$4&gt;=1,12*$I56,($B53-$B$4)*12*$I56)</f>
        <v>6600</v>
      </c>
      <c r="E55" s="12">
        <f>IF($B53-$B$4&gt;=2,12*$I56*1.0025,IF(AND($B53-$B$4&gt;1,$B53-$B$4&lt;2),($B53-$B$4-1)*12*$I56*1.0025,0))</f>
        <v>4962.375</v>
      </c>
      <c r="F55" s="12">
        <f>IF($B53-$B$4&gt;=3,12*$I56*1.0025*1.0025,IF(AND($B53-$B$4&gt;2,$B53-$B$4&lt;3),($B53-$B$4-2)*12*$I56*1.0025*1.0025,0))</f>
        <v>0</v>
      </c>
      <c r="G55" s="12">
        <f>IF($B53-$B$4&gt;=4,12*$I56*1.0025*1.0025*1.0025,IF(AND($B53-$B$4&gt;3,$B53-$B$4&lt;4),($B53-$B$4-3)*12*$I56*1.0025*1.0025*1.0025,0))</f>
        <v>0</v>
      </c>
      <c r="H55" s="14" t="s">
        <v>122</v>
      </c>
      <c r="I55" s="7"/>
    </row>
    <row r="56" spans="1:33">
      <c r="A56" s="4" t="s">
        <v>107</v>
      </c>
      <c r="B56" s="30">
        <f>VLOOKUP(B55,'Instrucciones de uso'!$B$52:$F$61,5)</f>
        <v>0.98848881819682521</v>
      </c>
      <c r="C56" s="6">
        <f>C55*(100-(0.5*C54))/100</f>
        <v>2554.1552813827257</v>
      </c>
      <c r="D56" s="4" t="s">
        <v>123</v>
      </c>
      <c r="H56" s="8" t="s">
        <v>58</v>
      </c>
      <c r="I56" s="15">
        <f>'Instrucciones de uso'!$H$12</f>
        <v>550</v>
      </c>
    </row>
    <row r="57" spans="1:33">
      <c r="A57" s="8" t="s">
        <v>29</v>
      </c>
      <c r="B57" s="9">
        <f>IF(F53=1,(100-(C54*1.875))/100,IF(F53=2,(100-(C54*1.75))/100,IF(F53=3,(100-(C54*1.625))/100,(100-(C54*1.5))/100)))</f>
        <v>0.94374999999999998</v>
      </c>
      <c r="C57" s="10">
        <f>MIN(B54*B56*B57,C56)</f>
        <v>2554.1552813827257</v>
      </c>
      <c r="D57" s="6">
        <f>IF(B53-$B$4&gt;=1,0,C57*14*(1-(B53-$B$4)))</f>
        <v>0</v>
      </c>
      <c r="E57" s="6">
        <f>IF(D57&gt;0,C57*14*1.0025,IF(B53-$B$4&gt;=2,0,C57*14*1.0025*(1-(B53-$B$4-1))))</f>
        <v>8961.892343551639</v>
      </c>
      <c r="F57" s="6">
        <f>IF(E57&gt;0,C57*14*1.0025*1.0025,IF(B53-$B$4&gt;=3,0,C57*14*1.0025*1.0025*(1-(B53-$B$4-2))))</f>
        <v>35937.188297642067</v>
      </c>
      <c r="G57" s="6">
        <f>IF(F57&gt;0,C57*14*1.0025*1.0025*1.0025,IF(B53-$B$4&gt;=4,0,C57*14*1.0025*1.0025*1.0025*(1-(B53-$B$4-3))))</f>
        <v>36027.03126838617</v>
      </c>
      <c r="H57" s="6">
        <f>IF(G57&gt;0,C57*14*1.0025*1.0025*1.0025*1.0025,IF(B53-$B$4&gt;=5,0,C57*14*1.0025*1.0025*1.0025*1.0025*(1-(B53-$B$4-4))))</f>
        <v>36117.098846557135</v>
      </c>
      <c r="I57" s="6">
        <f t="shared" ref="I57:AG57" si="29">H57*1.0025</f>
        <v>36207.391593673528</v>
      </c>
      <c r="J57" s="6">
        <f t="shared" si="29"/>
        <v>36297.910072657709</v>
      </c>
      <c r="K57" s="6">
        <f t="shared" si="29"/>
        <v>36388.654847839352</v>
      </c>
      <c r="L57" s="6">
        <f t="shared" si="29"/>
        <v>36479.62648495895</v>
      </c>
      <c r="M57" s="6">
        <f t="shared" si="29"/>
        <v>36570.825551171343</v>
      </c>
      <c r="N57" s="6">
        <f t="shared" si="29"/>
        <v>36662.25261504927</v>
      </c>
      <c r="O57" s="6">
        <f t="shared" si="29"/>
        <v>36753.908246586892</v>
      </c>
      <c r="P57" s="6">
        <f t="shared" si="29"/>
        <v>36845.793017203359</v>
      </c>
      <c r="Q57" s="6">
        <f t="shared" si="29"/>
        <v>36937.907499746369</v>
      </c>
      <c r="R57" s="6">
        <f t="shared" si="29"/>
        <v>37030.252268495729</v>
      </c>
      <c r="S57" s="6">
        <f t="shared" si="29"/>
        <v>37122.827899166965</v>
      </c>
      <c r="T57" s="6">
        <f t="shared" si="29"/>
        <v>37215.634968914877</v>
      </c>
      <c r="U57" s="6">
        <f t="shared" si="29"/>
        <v>37308.674056337164</v>
      </c>
      <c r="V57" s="6">
        <f t="shared" si="29"/>
        <v>37401.945741478004</v>
      </c>
      <c r="W57" s="6">
        <f t="shared" si="29"/>
        <v>37495.450605831698</v>
      </c>
      <c r="X57" s="6">
        <f t="shared" si="29"/>
        <v>37589.189232346274</v>
      </c>
      <c r="Y57" s="6">
        <f t="shared" si="29"/>
        <v>37683.162205427136</v>
      </c>
      <c r="Z57" s="6">
        <f t="shared" si="29"/>
        <v>37777.370110940705</v>
      </c>
      <c r="AA57" s="6">
        <f t="shared" si="29"/>
        <v>37871.813536218055</v>
      </c>
      <c r="AB57" s="6">
        <f t="shared" si="29"/>
        <v>37966.493070058597</v>
      </c>
      <c r="AC57" s="6">
        <f t="shared" si="29"/>
        <v>38061.409302733744</v>
      </c>
      <c r="AD57" s="6">
        <f t="shared" si="29"/>
        <v>38156.562825990579</v>
      </c>
      <c r="AE57" s="6">
        <f t="shared" si="29"/>
        <v>38251.954233055556</v>
      </c>
      <c r="AF57" s="6">
        <f t="shared" si="29"/>
        <v>38347.584118638195</v>
      </c>
      <c r="AG57" s="6">
        <f t="shared" si="29"/>
        <v>38443.453078934792</v>
      </c>
    </row>
    <row r="58" spans="1:33">
      <c r="A58" s="4" t="s">
        <v>52</v>
      </c>
      <c r="B58" s="6">
        <f>C56-C57</f>
        <v>0</v>
      </c>
      <c r="C58" s="4" t="s">
        <v>57</v>
      </c>
      <c r="D58" s="6">
        <f>D57-D55</f>
        <v>-6600</v>
      </c>
      <c r="E58" s="6">
        <f>D58+E57-E55</f>
        <v>-2600.482656448361</v>
      </c>
      <c r="F58" s="6">
        <f t="shared" ref="F58" si="30">E58+F57-F55</f>
        <v>33336.705641193708</v>
      </c>
      <c r="G58" s="6">
        <f t="shared" ref="G58" si="31">F58+G57-G55</f>
        <v>69363.736909579879</v>
      </c>
      <c r="H58" s="6">
        <f t="shared" ref="H58:AG58" si="32">G58+H57</f>
        <v>105480.83575613701</v>
      </c>
      <c r="I58" s="6">
        <f t="shared" si="32"/>
        <v>141688.22734981054</v>
      </c>
      <c r="J58" s="6">
        <f t="shared" si="32"/>
        <v>177986.13742246825</v>
      </c>
      <c r="K58" s="6">
        <f t="shared" si="32"/>
        <v>214374.7922703076</v>
      </c>
      <c r="L58" s="6">
        <f t="shared" si="32"/>
        <v>250854.41875526655</v>
      </c>
      <c r="M58" s="6">
        <f t="shared" si="32"/>
        <v>287425.2443064379</v>
      </c>
      <c r="N58" s="6">
        <f t="shared" si="32"/>
        <v>324087.49692148715</v>
      </c>
      <c r="O58" s="6">
        <f t="shared" si="32"/>
        <v>360841.40516807407</v>
      </c>
      <c r="P58" s="6">
        <f t="shared" si="32"/>
        <v>397687.1981852774</v>
      </c>
      <c r="Q58" s="6">
        <f t="shared" si="32"/>
        <v>434625.10568502377</v>
      </c>
      <c r="R58" s="6">
        <f t="shared" si="32"/>
        <v>471655.3579535195</v>
      </c>
      <c r="S58" s="6">
        <f t="shared" si="32"/>
        <v>508778.18585268647</v>
      </c>
      <c r="T58" s="6">
        <f t="shared" si="32"/>
        <v>545993.82082160132</v>
      </c>
      <c r="U58" s="6">
        <f t="shared" si="32"/>
        <v>583302.49487793853</v>
      </c>
      <c r="V58" s="6">
        <f t="shared" si="32"/>
        <v>620704.44061941653</v>
      </c>
      <c r="W58" s="6">
        <f t="shared" si="32"/>
        <v>658199.89122524823</v>
      </c>
      <c r="X58" s="6">
        <f t="shared" si="32"/>
        <v>695789.08045759448</v>
      </c>
      <c r="Y58" s="6">
        <f t="shared" si="32"/>
        <v>733472.24266302167</v>
      </c>
      <c r="Z58" s="6">
        <f t="shared" si="32"/>
        <v>771249.61277396232</v>
      </c>
      <c r="AA58" s="6">
        <f t="shared" si="32"/>
        <v>809121.42631018034</v>
      </c>
      <c r="AB58" s="6">
        <f t="shared" si="32"/>
        <v>847087.91938023898</v>
      </c>
      <c r="AC58" s="6">
        <f t="shared" si="32"/>
        <v>885149.3286829727</v>
      </c>
      <c r="AD58" s="6">
        <f t="shared" si="32"/>
        <v>923305.89150896331</v>
      </c>
      <c r="AE58" s="6">
        <f t="shared" si="32"/>
        <v>961557.84574201889</v>
      </c>
      <c r="AF58" s="6">
        <f t="shared" si="32"/>
        <v>999905.42986065708</v>
      </c>
      <c r="AG58" s="6">
        <f t="shared" si="32"/>
        <v>1038348.8829395919</v>
      </c>
    </row>
    <row r="59" spans="1:33">
      <c r="B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8" customHeight="1">
      <c r="A60" s="4" t="s">
        <v>31</v>
      </c>
      <c r="B60" s="5">
        <f>IF($B$4+(0.25*8)&gt;J60,J60,($B$4+(0.25*8)))</f>
        <v>65.25</v>
      </c>
      <c r="C60" s="4" t="s">
        <v>30</v>
      </c>
      <c r="D60" s="8" t="s">
        <v>124</v>
      </c>
      <c r="E60" s="13">
        <f>'Instrucciones de uso'!P60</f>
        <v>35.799999999999997</v>
      </c>
      <c r="F60" s="31">
        <f>'Instrucciones de uso'!Q60</f>
        <v>1</v>
      </c>
      <c r="G60" s="4" t="s">
        <v>126</v>
      </c>
      <c r="H60" s="8" t="s">
        <v>125</v>
      </c>
      <c r="I60" s="11"/>
      <c r="J60" s="13">
        <f>'Instrucciones de uso'!K60</f>
        <v>65.833299999999994</v>
      </c>
    </row>
    <row r="61" spans="1:33">
      <c r="A61" s="4" t="s">
        <v>28</v>
      </c>
      <c r="B61" s="32">
        <f>'Instrucciones de uso'!$E$12*B63</f>
        <v>2767.7686909511108</v>
      </c>
      <c r="C61" s="33">
        <f>INT((J60-B60)*4)</f>
        <v>2</v>
      </c>
      <c r="D61" s="4" t="s">
        <v>0</v>
      </c>
      <c r="E61" s="4" t="s">
        <v>1</v>
      </c>
      <c r="F61" s="4" t="s">
        <v>2</v>
      </c>
      <c r="G61" s="4" t="s">
        <v>3</v>
      </c>
      <c r="H61" s="4" t="s">
        <v>4</v>
      </c>
      <c r="I61" s="4" t="s">
        <v>5</v>
      </c>
      <c r="J61" s="4" t="s">
        <v>6</v>
      </c>
      <c r="K61" s="4" t="s">
        <v>7</v>
      </c>
      <c r="L61" s="4" t="s">
        <v>8</v>
      </c>
      <c r="M61" s="4" t="s">
        <v>9</v>
      </c>
      <c r="N61" s="4" t="s">
        <v>10</v>
      </c>
      <c r="O61" s="4" t="s">
        <v>11</v>
      </c>
      <c r="P61" s="4" t="s">
        <v>12</v>
      </c>
      <c r="Q61" s="4" t="s">
        <v>13</v>
      </c>
      <c r="R61" s="4" t="s">
        <v>14</v>
      </c>
      <c r="S61" s="4" t="s">
        <v>15</v>
      </c>
      <c r="T61" s="4" t="s">
        <v>16</v>
      </c>
      <c r="U61" s="4" t="s">
        <v>17</v>
      </c>
      <c r="V61" s="4" t="s">
        <v>18</v>
      </c>
      <c r="W61" s="4" t="s">
        <v>19</v>
      </c>
      <c r="X61" s="4" t="s">
        <v>20</v>
      </c>
      <c r="Y61" s="4" t="s">
        <v>21</v>
      </c>
      <c r="Z61" s="4" t="s">
        <v>22</v>
      </c>
      <c r="AA61" s="4" t="s">
        <v>23</v>
      </c>
      <c r="AB61" s="4" t="s">
        <v>24</v>
      </c>
      <c r="AC61" s="4" t="s">
        <v>25</v>
      </c>
      <c r="AD61" s="4" t="s">
        <v>26</v>
      </c>
      <c r="AE61" s="4" t="s">
        <v>27</v>
      </c>
      <c r="AF61" s="4" t="s">
        <v>32</v>
      </c>
      <c r="AG61" s="4" t="s">
        <v>33</v>
      </c>
    </row>
    <row r="62" spans="1:33">
      <c r="A62" s="4" t="s">
        <v>34</v>
      </c>
      <c r="B62" s="34">
        <f>IF('Instrucciones de uso'!A60&gt;'Instrucciones de uso'!L60,'Instrucciones de uso'!L60,'Instrucciones de uso'!A60)</f>
        <v>2020</v>
      </c>
      <c r="C62" s="35">
        <f>VLOOKUP(B62,'Instrucciones de uso'!$B$52:$E$61,4)</f>
        <v>2593.0510470890617</v>
      </c>
      <c r="D62" s="12">
        <f>IF($B60-$B$4&gt;=1,12*$I63,($B60-$B$4)*12*$I63)</f>
        <v>6600</v>
      </c>
      <c r="E62" s="12">
        <f>IF($B60-$B$4&gt;=2,12*$I63*1.0025,IF(AND($B60-$B$4&gt;1,$B60-$B$4&lt;2),($B60-$B$4-1)*12*$I63*1.0025,0))</f>
        <v>6616.5</v>
      </c>
      <c r="F62" s="12">
        <f>IF($B60-$B$4&gt;=3,12*$I63*1.0025*1.0025,IF(AND($B60-$B$4&gt;2,$B60-$B$4&lt;3),($B60-$B$4-2)*12*$I63*1.0025*1.0025,0))</f>
        <v>0</v>
      </c>
      <c r="G62" s="12">
        <f>IF($B60-$B$4&gt;=4,12*$I63*1.0025*1.0025*1.0025,IF(AND($B60-$B$4&gt;3,$B60-$B$4&lt;4),($B60-$B$4-3)*12*$I63*1.0025*1.0025*1.0025,0))</f>
        <v>0</v>
      </c>
      <c r="H62" s="14" t="s">
        <v>122</v>
      </c>
      <c r="I62" s="7"/>
    </row>
    <row r="63" spans="1:33">
      <c r="A63" s="4" t="s">
        <v>107</v>
      </c>
      <c r="B63" s="30">
        <f>VLOOKUP(B62,'Instrucciones de uso'!$B$52:$F$61,5)</f>
        <v>0.98848881819682521</v>
      </c>
      <c r="C63" s="6">
        <f>C62*(100-(0.5*C61))/100</f>
        <v>2567.1205366181712</v>
      </c>
      <c r="D63" s="4" t="s">
        <v>123</v>
      </c>
      <c r="H63" s="8" t="s">
        <v>58</v>
      </c>
      <c r="I63" s="15">
        <f>'Instrucciones de uso'!$H$12</f>
        <v>550</v>
      </c>
    </row>
    <row r="64" spans="1:33">
      <c r="A64" s="8" t="s">
        <v>29</v>
      </c>
      <c r="B64" s="9">
        <f>IF(F60=1,(100-(C61*1.875))/100,IF(F60=2,(100-(C61*1.75))/100,IF(F60=3,(100-(C61*1.625))/100,(100-(C61*1.5))/100)))</f>
        <v>0.96250000000000002</v>
      </c>
      <c r="C64" s="10">
        <f>MIN(B61*B63*B64,C63)</f>
        <v>2567.1205366181712</v>
      </c>
      <c r="D64" s="6">
        <f>IF(B60-$B$4&gt;=1,0,C64*14*(1-(B60-$B$4)))</f>
        <v>0</v>
      </c>
      <c r="E64" s="6">
        <f>IF(D64&gt;0,C64*14*1.0025,IF(B60-$B$4&gt;=2,0,C64*14*1.0025*(1-(B60-$B$4-1))))</f>
        <v>0</v>
      </c>
      <c r="F64" s="6">
        <f>IF(E64&gt;0,C64*14*1.0025*1.0025,IF(B60-$B$4&gt;=3,0,C64*14*1.0025*1.0025*(1-(B60-$B$4-2))))</f>
        <v>36119.610573264625</v>
      </c>
      <c r="G64" s="6">
        <f>IF(F64&gt;0,C64*14*1.0025*1.0025*1.0025,IF(B60-$B$4&gt;=4,0,C64*14*1.0025*1.0025*1.0025*(1-(B60-$B$4-3))))</f>
        <v>36209.909599697785</v>
      </c>
      <c r="H64" s="6">
        <f>IF(G64&gt;0,C64*14*1.0025*1.0025*1.0025*1.0025,IF(B60-$B$4&gt;=5,0,C64*14*1.0025*1.0025*1.0025*1.0025*(1-(B60-$B$4-4))))</f>
        <v>36300.434373697026</v>
      </c>
      <c r="I64" s="6">
        <f t="shared" ref="I64:AG64" si="33">H64*1.0025</f>
        <v>36391.18545963127</v>
      </c>
      <c r="J64" s="6">
        <f t="shared" si="33"/>
        <v>36482.163423280348</v>
      </c>
      <c r="K64" s="6">
        <f t="shared" si="33"/>
        <v>36573.368831838547</v>
      </c>
      <c r="L64" s="6">
        <f t="shared" si="33"/>
        <v>36664.80225391814</v>
      </c>
      <c r="M64" s="6">
        <f t="shared" si="33"/>
        <v>36756.464259552937</v>
      </c>
      <c r="N64" s="6">
        <f t="shared" si="33"/>
        <v>36848.35542020182</v>
      </c>
      <c r="O64" s="6">
        <f t="shared" si="33"/>
        <v>36940.476308752324</v>
      </c>
      <c r="P64" s="6">
        <f t="shared" si="33"/>
        <v>37032.827499524203</v>
      </c>
      <c r="Q64" s="6">
        <f t="shared" si="33"/>
        <v>37125.409568273011</v>
      </c>
      <c r="R64" s="6">
        <f t="shared" si="33"/>
        <v>37218.223092193693</v>
      </c>
      <c r="S64" s="6">
        <f t="shared" si="33"/>
        <v>37311.268649924175</v>
      </c>
      <c r="T64" s="6">
        <f t="shared" si="33"/>
        <v>37404.546821548982</v>
      </c>
      <c r="U64" s="6">
        <f t="shared" si="33"/>
        <v>37498.058188602852</v>
      </c>
      <c r="V64" s="6">
        <f t="shared" si="33"/>
        <v>37591.803334074357</v>
      </c>
      <c r="W64" s="6">
        <f t="shared" si="33"/>
        <v>37685.782842409542</v>
      </c>
      <c r="X64" s="6">
        <f t="shared" si="33"/>
        <v>37779.997299515562</v>
      </c>
      <c r="Y64" s="6">
        <f t="shared" si="33"/>
        <v>37874.447292764351</v>
      </c>
      <c r="Z64" s="6">
        <f t="shared" si="33"/>
        <v>37969.133410996263</v>
      </c>
      <c r="AA64" s="6">
        <f t="shared" si="33"/>
        <v>38064.056244523752</v>
      </c>
      <c r="AB64" s="6">
        <f t="shared" si="33"/>
        <v>38159.216385135056</v>
      </c>
      <c r="AC64" s="6">
        <f t="shared" si="33"/>
        <v>38254.614426097891</v>
      </c>
      <c r="AD64" s="6">
        <f t="shared" si="33"/>
        <v>38350.250962163132</v>
      </c>
      <c r="AE64" s="6">
        <f t="shared" si="33"/>
        <v>38446.126589568536</v>
      </c>
      <c r="AF64" s="6">
        <f t="shared" si="33"/>
        <v>38542.241906042458</v>
      </c>
      <c r="AG64" s="6">
        <f t="shared" si="33"/>
        <v>38638.597510807565</v>
      </c>
    </row>
    <row r="65" spans="1:33">
      <c r="A65" s="4" t="s">
        <v>52</v>
      </c>
      <c r="B65" s="6">
        <f>C63-C64</f>
        <v>0</v>
      </c>
      <c r="C65" s="4" t="s">
        <v>57</v>
      </c>
      <c r="D65" s="6">
        <f>D64-D62</f>
        <v>-6600</v>
      </c>
      <c r="E65" s="6">
        <f>D65+E64-E62</f>
        <v>-13216.5</v>
      </c>
      <c r="F65" s="6">
        <f t="shared" ref="F65" si="34">E65+F64-F62</f>
        <v>22903.110573264625</v>
      </c>
      <c r="G65" s="6">
        <f t="shared" ref="G65" si="35">F65+G64-G62</f>
        <v>59113.02017296241</v>
      </c>
      <c r="H65" s="6">
        <f t="shared" ref="H65:AG65" si="36">G65+H64</f>
        <v>95413.454546659428</v>
      </c>
      <c r="I65" s="6">
        <f t="shared" si="36"/>
        <v>131804.64000629069</v>
      </c>
      <c r="J65" s="6">
        <f t="shared" si="36"/>
        <v>168286.80342957104</v>
      </c>
      <c r="K65" s="6">
        <f t="shared" si="36"/>
        <v>204860.17226140958</v>
      </c>
      <c r="L65" s="6">
        <f t="shared" si="36"/>
        <v>241524.97451532772</v>
      </c>
      <c r="M65" s="6">
        <f t="shared" si="36"/>
        <v>278281.43877488066</v>
      </c>
      <c r="N65" s="6">
        <f t="shared" si="36"/>
        <v>315129.7941950825</v>
      </c>
      <c r="O65" s="6">
        <f t="shared" si="36"/>
        <v>352070.27050383482</v>
      </c>
      <c r="P65" s="6">
        <f t="shared" si="36"/>
        <v>389103.09800335905</v>
      </c>
      <c r="Q65" s="6">
        <f t="shared" si="36"/>
        <v>426228.50757163204</v>
      </c>
      <c r="R65" s="6">
        <f t="shared" si="36"/>
        <v>463446.73066382576</v>
      </c>
      <c r="S65" s="6">
        <f t="shared" si="36"/>
        <v>500757.99931374996</v>
      </c>
      <c r="T65" s="6">
        <f t="shared" si="36"/>
        <v>538162.54613529891</v>
      </c>
      <c r="U65" s="6">
        <f t="shared" si="36"/>
        <v>575660.6043239017</v>
      </c>
      <c r="V65" s="6">
        <f t="shared" si="36"/>
        <v>613252.40765797603</v>
      </c>
      <c r="W65" s="6">
        <f t="shared" si="36"/>
        <v>650938.19050038559</v>
      </c>
      <c r="X65" s="6">
        <f t="shared" si="36"/>
        <v>688718.18779990112</v>
      </c>
      <c r="Y65" s="6">
        <f t="shared" si="36"/>
        <v>726592.63509266544</v>
      </c>
      <c r="Z65" s="6">
        <f t="shared" si="36"/>
        <v>764561.76850366173</v>
      </c>
      <c r="AA65" s="6">
        <f t="shared" si="36"/>
        <v>802625.82474818546</v>
      </c>
      <c r="AB65" s="6">
        <f t="shared" si="36"/>
        <v>840785.04113332054</v>
      </c>
      <c r="AC65" s="6">
        <f t="shared" si="36"/>
        <v>879039.65555941849</v>
      </c>
      <c r="AD65" s="6">
        <f t="shared" si="36"/>
        <v>917389.90652158158</v>
      </c>
      <c r="AE65" s="6">
        <f t="shared" si="36"/>
        <v>955836.03311115014</v>
      </c>
      <c r="AF65" s="6">
        <f t="shared" si="36"/>
        <v>994378.27501719259</v>
      </c>
      <c r="AG65" s="6">
        <f t="shared" si="36"/>
        <v>1033016.8725280002</v>
      </c>
    </row>
    <row r="66" spans="1:33">
      <c r="F66" s="1"/>
    </row>
    <row r="67" spans="1:33" ht="18" customHeight="1">
      <c r="A67" s="4" t="s">
        <v>31</v>
      </c>
      <c r="B67" s="5">
        <f>IF($B$4+(0.25*12)&gt;J67,J67,($B$4+(0.25*12)))</f>
        <v>65.833299999999994</v>
      </c>
      <c r="C67" s="4" t="s">
        <v>30</v>
      </c>
      <c r="D67" s="8" t="s">
        <v>124</v>
      </c>
      <c r="E67" s="13">
        <f>'Instrucciones de uso'!P61</f>
        <v>36.386208966461311</v>
      </c>
      <c r="F67" s="31">
        <f>'Instrucciones de uso'!Q61</f>
        <v>1</v>
      </c>
      <c r="G67" s="4" t="s">
        <v>126</v>
      </c>
      <c r="H67" s="8" t="s">
        <v>125</v>
      </c>
      <c r="I67" s="11"/>
      <c r="J67" s="13">
        <f>'Instrucciones de uso'!K61</f>
        <v>65.833299999999994</v>
      </c>
    </row>
    <row r="68" spans="1:33">
      <c r="A68" s="4" t="s">
        <v>28</v>
      </c>
      <c r="B68" s="32">
        <f>'Instrucciones de uso'!$E$12*B70</f>
        <v>2767.7686909511108</v>
      </c>
      <c r="C68" s="33">
        <f>INT((J67-B67)*4)</f>
        <v>0</v>
      </c>
      <c r="D68" s="4" t="s">
        <v>0</v>
      </c>
      <c r="E68" s="4" t="s">
        <v>1</v>
      </c>
      <c r="F68" s="4" t="s">
        <v>2</v>
      </c>
      <c r="G68" s="4" t="s">
        <v>3</v>
      </c>
      <c r="H68" s="4" t="s">
        <v>4</v>
      </c>
      <c r="I68" s="4" t="s">
        <v>5</v>
      </c>
      <c r="J68" s="4" t="s">
        <v>6</v>
      </c>
      <c r="K68" s="4" t="s">
        <v>7</v>
      </c>
      <c r="L68" s="4" t="s">
        <v>8</v>
      </c>
      <c r="M68" s="4" t="s">
        <v>9</v>
      </c>
      <c r="N68" s="4" t="s">
        <v>10</v>
      </c>
      <c r="O68" s="4" t="s">
        <v>11</v>
      </c>
      <c r="P68" s="4" t="s">
        <v>12</v>
      </c>
      <c r="Q68" s="4" t="s">
        <v>13</v>
      </c>
      <c r="R68" s="4" t="s">
        <v>14</v>
      </c>
      <c r="S68" s="4" t="s">
        <v>15</v>
      </c>
      <c r="T68" s="4" t="s">
        <v>16</v>
      </c>
      <c r="U68" s="4" t="s">
        <v>17</v>
      </c>
      <c r="V68" s="4" t="s">
        <v>18</v>
      </c>
      <c r="W68" s="4" t="s">
        <v>19</v>
      </c>
      <c r="X68" s="4" t="s">
        <v>20</v>
      </c>
      <c r="Y68" s="4" t="s">
        <v>21</v>
      </c>
      <c r="Z68" s="4" t="s">
        <v>22</v>
      </c>
      <c r="AA68" s="4" t="s">
        <v>23</v>
      </c>
      <c r="AB68" s="4" t="s">
        <v>24</v>
      </c>
      <c r="AC68" s="4" t="s">
        <v>25</v>
      </c>
      <c r="AD68" s="4" t="s">
        <v>26</v>
      </c>
      <c r="AE68" s="4" t="s">
        <v>27</v>
      </c>
      <c r="AF68" s="4" t="s">
        <v>32</v>
      </c>
      <c r="AG68" s="4" t="s">
        <v>33</v>
      </c>
    </row>
    <row r="69" spans="1:33">
      <c r="A69" s="4" t="s">
        <v>34</v>
      </c>
      <c r="B69" s="34">
        <f>IF('Instrucciones de uso'!A61&gt;'Instrucciones de uso'!L61,'Instrucciones de uso'!L61,'Instrucciones de uso'!A61)</f>
        <v>2020</v>
      </c>
      <c r="C69" s="35">
        <f>VLOOKUP(B69,'Instrucciones de uso'!$B$52:$E$61,4)</f>
        <v>2593.0510470890617</v>
      </c>
      <c r="D69" s="12">
        <f>IF($B67-$B$4&gt;=1,12*$I70,($B67-$B$4)*12*$I70)</f>
        <v>6600</v>
      </c>
      <c r="E69" s="12">
        <f>IF($B67-$B$4&gt;=2,12*$I70*1.0025,IF(AND($B67-$B$4&gt;1,$B67-$B$4&lt;2),($B67-$B$4-1)*12*$I70*1.0025,0))</f>
        <v>6616.5</v>
      </c>
      <c r="F69" s="12">
        <f>IF($B67-$B$4&gt;=3,12*$I70*1.0025*1.0025,IF(AND($B67-$B$4&gt;2,$B67-$B$4&lt;3),($B67-$B$4-2)*12*$I70*1.0025*1.0025,0))</f>
        <v>3869.0529611249613</v>
      </c>
      <c r="G69" s="12">
        <f>IF($B67-$B$4&gt;=4,12*$I70*1.0025*1.0025*1.0025,IF(AND($B67-$B$4&gt;3,$B67-$B$4&lt;4),($B67-$B$4-3)*12*$I70*1.0025*1.0025*1.0025,0))</f>
        <v>0</v>
      </c>
      <c r="H69" s="14" t="s">
        <v>122</v>
      </c>
      <c r="I69" s="7"/>
    </row>
    <row r="70" spans="1:33">
      <c r="A70" s="4" t="s">
        <v>107</v>
      </c>
      <c r="B70" s="30">
        <f>VLOOKUP(B69,'Instrucciones de uso'!$B$52:$F$61,5)</f>
        <v>0.98848881819682521</v>
      </c>
      <c r="C70" s="6">
        <f>C69*(100-(0.5*C68))/100</f>
        <v>2593.0510470890617</v>
      </c>
      <c r="D70" s="4" t="s">
        <v>123</v>
      </c>
      <c r="H70" s="8" t="s">
        <v>58</v>
      </c>
      <c r="I70" s="15">
        <f>'Instrucciones de uso'!$H$12</f>
        <v>550</v>
      </c>
    </row>
    <row r="71" spans="1:33">
      <c r="A71" s="8" t="s">
        <v>29</v>
      </c>
      <c r="B71" s="9">
        <f>IF(F67=1,(100-(C68*1.875))/100,IF(F67=2,(100-(C68*1.75))/100,IF(F67=3,(100-(C68*1.625))/100,(100-(C68*1.5))/100)))</f>
        <v>1</v>
      </c>
      <c r="C71" s="10">
        <f>MIN(B68*B70*B71,C70)</f>
        <v>2593.0510470890617</v>
      </c>
      <c r="D71" s="6">
        <f>IF(B67-$B$4&gt;=1,0,C71*14*(1-(B67-$B$4)))</f>
        <v>0</v>
      </c>
      <c r="E71" s="6">
        <f>IF(D71&gt;0,C71*14*1.0025,IF(B67-$B$4&gt;=2,0,C71*14*1.0025*(1-(B67-$B$4-1))))</f>
        <v>0</v>
      </c>
      <c r="F71" s="6">
        <f>IF(E71&gt;0,C71*14*1.0025*1.0025,IF(B67-$B$4&gt;=3,0,C71*14*1.0025*1.0025*(1-(B67-$B$4-2))))</f>
        <v>15203.072450383412</v>
      </c>
      <c r="G71" s="6">
        <f>IF(F71&gt;0,C71*14*1.0025*1.0025*1.0025,IF(B67-$B$4&gt;=4,0,C71*14*1.0025*1.0025*1.0025*(1-(B67-$B$4-3))))</f>
        <v>36575.666262320992</v>
      </c>
      <c r="H71" s="6">
        <f>IF(G71&gt;0,C71*14*1.0025*1.0025*1.0025*1.0025,IF(B67-$B$4&gt;=5,0,C71*14*1.0025*1.0025*1.0025*1.0025*(1-(B67-$B$4-4))))</f>
        <v>36667.105427976792</v>
      </c>
      <c r="I71" s="6">
        <f t="shared" ref="I71:AG71" si="37">H71*1.0025</f>
        <v>36758.77319154673</v>
      </c>
      <c r="J71" s="6">
        <f t="shared" si="37"/>
        <v>36850.670124525597</v>
      </c>
      <c r="K71" s="6">
        <f t="shared" si="37"/>
        <v>36942.796799836906</v>
      </c>
      <c r="L71" s="6">
        <f t="shared" si="37"/>
        <v>37035.153791836499</v>
      </c>
      <c r="M71" s="6">
        <f t="shared" si="37"/>
        <v>37127.741676316087</v>
      </c>
      <c r="N71" s="6">
        <f t="shared" si="37"/>
        <v>37220.561030506877</v>
      </c>
      <c r="O71" s="6">
        <f t="shared" si="37"/>
        <v>37313.612433083144</v>
      </c>
      <c r="P71" s="6">
        <f t="shared" si="37"/>
        <v>37406.896464165853</v>
      </c>
      <c r="Q71" s="6">
        <f t="shared" si="37"/>
        <v>37500.413705326268</v>
      </c>
      <c r="R71" s="6">
        <f t="shared" si="37"/>
        <v>37594.164739589578</v>
      </c>
      <c r="S71" s="6">
        <f t="shared" si="37"/>
        <v>37688.150151438553</v>
      </c>
      <c r="T71" s="6">
        <f t="shared" si="37"/>
        <v>37782.370526817147</v>
      </c>
      <c r="U71" s="6">
        <f t="shared" si="37"/>
        <v>37876.826453134185</v>
      </c>
      <c r="V71" s="6">
        <f t="shared" si="37"/>
        <v>37971.518519267018</v>
      </c>
      <c r="W71" s="6">
        <f t="shared" si="37"/>
        <v>38066.447315565187</v>
      </c>
      <c r="X71" s="6">
        <f t="shared" si="37"/>
        <v>38161.613433854094</v>
      </c>
      <c r="Y71" s="6">
        <f t="shared" si="37"/>
        <v>38257.017467438731</v>
      </c>
      <c r="Z71" s="6">
        <f t="shared" si="37"/>
        <v>38352.660011107328</v>
      </c>
      <c r="AA71" s="6">
        <f t="shared" si="37"/>
        <v>38448.541661135096</v>
      </c>
      <c r="AB71" s="6">
        <f t="shared" si="37"/>
        <v>38544.66301528793</v>
      </c>
      <c r="AC71" s="6">
        <f t="shared" si="37"/>
        <v>38641.024672826148</v>
      </c>
      <c r="AD71" s="6">
        <f t="shared" si="37"/>
        <v>38737.627234508211</v>
      </c>
      <c r="AE71" s="6">
        <f t="shared" si="37"/>
        <v>38834.47130259448</v>
      </c>
      <c r="AF71" s="6">
        <f t="shared" si="37"/>
        <v>38931.557480850963</v>
      </c>
      <c r="AG71" s="6">
        <f t="shared" si="37"/>
        <v>39028.886374553091</v>
      </c>
    </row>
    <row r="72" spans="1:33">
      <c r="A72" s="4" t="s">
        <v>52</v>
      </c>
      <c r="B72" s="6">
        <f>C70-C71</f>
        <v>0</v>
      </c>
      <c r="C72" s="4" t="s">
        <v>57</v>
      </c>
      <c r="D72" s="6">
        <f>D71-D69</f>
        <v>-6600</v>
      </c>
      <c r="E72" s="6">
        <f>D72+E71-E69</f>
        <v>-13216.5</v>
      </c>
      <c r="F72" s="6">
        <f t="shared" ref="F72" si="38">E72+F71-F69</f>
        <v>-1882.4805107415496</v>
      </c>
      <c r="G72" s="6">
        <f t="shared" ref="G72" si="39">F72+G71-G69</f>
        <v>34693.18575157944</v>
      </c>
      <c r="H72" s="6">
        <f t="shared" ref="H72:AG72" si="40">G72+H71</f>
        <v>71360.291179556225</v>
      </c>
      <c r="I72" s="6">
        <f t="shared" si="40"/>
        <v>108119.06437110296</v>
      </c>
      <c r="J72" s="6">
        <f t="shared" si="40"/>
        <v>144969.73449562857</v>
      </c>
      <c r="K72" s="6">
        <f t="shared" si="40"/>
        <v>181912.53129546548</v>
      </c>
      <c r="L72" s="6">
        <f t="shared" si="40"/>
        <v>218947.68508730197</v>
      </c>
      <c r="M72" s="6">
        <f t="shared" si="40"/>
        <v>256075.42676361807</v>
      </c>
      <c r="N72" s="6">
        <f t="shared" si="40"/>
        <v>293295.98779412493</v>
      </c>
      <c r="O72" s="6">
        <f t="shared" si="40"/>
        <v>330609.60022720805</v>
      </c>
      <c r="P72" s="6">
        <f t="shared" si="40"/>
        <v>368016.49669137388</v>
      </c>
      <c r="Q72" s="6">
        <f t="shared" si="40"/>
        <v>405516.91039670014</v>
      </c>
      <c r="R72" s="6">
        <f t="shared" si="40"/>
        <v>443111.0751362897</v>
      </c>
      <c r="S72" s="6">
        <f t="shared" si="40"/>
        <v>480799.22528772824</v>
      </c>
      <c r="T72" s="6">
        <f t="shared" si="40"/>
        <v>518581.59581454541</v>
      </c>
      <c r="U72" s="6">
        <f t="shared" si="40"/>
        <v>556458.42226767959</v>
      </c>
      <c r="V72" s="6">
        <f t="shared" si="40"/>
        <v>594429.94078694656</v>
      </c>
      <c r="W72" s="6">
        <f t="shared" si="40"/>
        <v>632496.38810251176</v>
      </c>
      <c r="X72" s="6">
        <f t="shared" si="40"/>
        <v>670658.00153636583</v>
      </c>
      <c r="Y72" s="6">
        <f t="shared" si="40"/>
        <v>708915.01900380454</v>
      </c>
      <c r="Z72" s="6">
        <f t="shared" si="40"/>
        <v>747267.67901491188</v>
      </c>
      <c r="AA72" s="6">
        <f t="shared" si="40"/>
        <v>785716.22067604703</v>
      </c>
      <c r="AB72" s="6">
        <f t="shared" si="40"/>
        <v>824260.88369133498</v>
      </c>
      <c r="AC72" s="6">
        <f t="shared" si="40"/>
        <v>862901.90836416115</v>
      </c>
      <c r="AD72" s="6">
        <f t="shared" si="40"/>
        <v>901639.53559866932</v>
      </c>
      <c r="AE72" s="6">
        <f t="shared" si="40"/>
        <v>940474.00690126384</v>
      </c>
      <c r="AF72" s="6">
        <f t="shared" si="40"/>
        <v>979405.5643821148</v>
      </c>
      <c r="AG72" s="6">
        <f t="shared" si="40"/>
        <v>1018434.4507566679</v>
      </c>
    </row>
    <row r="73" spans="1:33">
      <c r="B73" s="3"/>
      <c r="D73" s="3"/>
      <c r="E73" s="3"/>
      <c r="F73" s="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8" customHeight="1">
      <c r="A74" s="4" t="s">
        <v>31</v>
      </c>
      <c r="B74" s="5">
        <f>IF($B$4+(0.25*16)&gt;J74,J74,($B$4+(0.25*16)))</f>
        <v>65.833299999999994</v>
      </c>
      <c r="C74" s="4" t="s">
        <v>30</v>
      </c>
      <c r="D74" s="8" t="s">
        <v>124</v>
      </c>
      <c r="E74" s="13">
        <f>'Instrucciones de uso'!P62</f>
        <v>36.386208966461311</v>
      </c>
      <c r="F74" s="31">
        <f>'Instrucciones de uso'!Q62</f>
        <v>1</v>
      </c>
      <c r="G74" s="4" t="s">
        <v>126</v>
      </c>
      <c r="H74" s="8" t="s">
        <v>125</v>
      </c>
      <c r="I74" s="11"/>
      <c r="J74" s="13">
        <f>'Instrucciones de uso'!K62</f>
        <v>65.833299999999994</v>
      </c>
    </row>
    <row r="75" spans="1:33">
      <c r="A75" s="4" t="s">
        <v>28</v>
      </c>
      <c r="B75" s="32">
        <f>'Instrucciones de uso'!$E$12*B77</f>
        <v>2767.7686909511108</v>
      </c>
      <c r="C75" s="33">
        <f>INT((J74-B74)*4)</f>
        <v>0</v>
      </c>
      <c r="D75" s="4" t="s">
        <v>0</v>
      </c>
      <c r="E75" s="4" t="s">
        <v>1</v>
      </c>
      <c r="F75" s="4" t="s">
        <v>2</v>
      </c>
      <c r="G75" s="4" t="s">
        <v>3</v>
      </c>
      <c r="H75" s="4" t="s">
        <v>4</v>
      </c>
      <c r="I75" s="4" t="s">
        <v>5</v>
      </c>
      <c r="J75" s="4" t="s">
        <v>6</v>
      </c>
      <c r="K75" s="4" t="s">
        <v>7</v>
      </c>
      <c r="L75" s="4" t="s">
        <v>8</v>
      </c>
      <c r="M75" s="4" t="s">
        <v>9</v>
      </c>
      <c r="N75" s="4" t="s">
        <v>10</v>
      </c>
      <c r="O75" s="4" t="s">
        <v>11</v>
      </c>
      <c r="P75" s="4" t="s">
        <v>12</v>
      </c>
      <c r="Q75" s="4" t="s">
        <v>13</v>
      </c>
      <c r="R75" s="4" t="s">
        <v>14</v>
      </c>
      <c r="S75" s="4" t="s">
        <v>15</v>
      </c>
      <c r="T75" s="4" t="s">
        <v>16</v>
      </c>
      <c r="U75" s="4" t="s">
        <v>17</v>
      </c>
      <c r="V75" s="4" t="s">
        <v>18</v>
      </c>
      <c r="W75" s="4" t="s">
        <v>19</v>
      </c>
      <c r="X75" s="4" t="s">
        <v>20</v>
      </c>
      <c r="Y75" s="4" t="s">
        <v>21</v>
      </c>
      <c r="Z75" s="4" t="s">
        <v>22</v>
      </c>
      <c r="AA75" s="4" t="s">
        <v>23</v>
      </c>
      <c r="AB75" s="4" t="s">
        <v>24</v>
      </c>
      <c r="AC75" s="4" t="s">
        <v>25</v>
      </c>
      <c r="AD75" s="4" t="s">
        <v>26</v>
      </c>
      <c r="AE75" s="4" t="s">
        <v>27</v>
      </c>
      <c r="AF75" s="4" t="s">
        <v>32</v>
      </c>
      <c r="AG75" s="4" t="s">
        <v>33</v>
      </c>
    </row>
    <row r="76" spans="1:33">
      <c r="A76" s="4" t="s">
        <v>34</v>
      </c>
      <c r="B76" s="34">
        <f>IF('Instrucciones de uso'!A62&gt;'Instrucciones de uso'!L62,'Instrucciones de uso'!L62,'Instrucciones de uso'!A62)</f>
        <v>2020</v>
      </c>
      <c r="C76" s="35">
        <f>VLOOKUP(B76,'Instrucciones de uso'!$B$52:$E$61,4)</f>
        <v>2593.0510470890617</v>
      </c>
      <c r="D76" s="12">
        <f>IF($B74-$B$4&gt;=1,12*$I77,($B74-$B$4)*12*$I77)</f>
        <v>6600</v>
      </c>
      <c r="E76" s="12">
        <f>IF($B74-$B$4&gt;=2,12*$I77*1.0025,IF(AND($B74-$B$4&gt;1,$B74-$B$4&lt;2),($B74-$B$4-1)*12*$I77*1.0025,0))</f>
        <v>6616.5</v>
      </c>
      <c r="F76" s="12">
        <f>IF($B74-$B$4&gt;=3,12*$I77*1.0025*1.0025,IF(AND($B74-$B$4&gt;2,$B74-$B$4&lt;3),($B74-$B$4-2)*12*$I77*1.0025*1.0025,0))</f>
        <v>3869.0529611249613</v>
      </c>
      <c r="G76" s="12">
        <f>IF($B74-$B$4&gt;=4,12*$I77*1.0025*1.0025*1.0025,IF(AND($B74-$B$4&gt;3,$B74-$B$4&lt;4),($B74-$B$4-3)*12*$I77*1.0025*1.0025*1.0025,0))</f>
        <v>0</v>
      </c>
      <c r="H76" s="14" t="s">
        <v>122</v>
      </c>
      <c r="I76" s="7"/>
    </row>
    <row r="77" spans="1:33">
      <c r="A77" s="4" t="s">
        <v>107</v>
      </c>
      <c r="B77" s="30">
        <f>VLOOKUP(B76,'Instrucciones de uso'!$B$52:$F$61,5)</f>
        <v>0.98848881819682521</v>
      </c>
      <c r="C77" s="6">
        <f>C76*(100-(0.5*C75))/100</f>
        <v>2593.0510470890617</v>
      </c>
      <c r="D77" s="4" t="s">
        <v>123</v>
      </c>
      <c r="H77" s="8" t="s">
        <v>58</v>
      </c>
      <c r="I77" s="15">
        <f>'Instrucciones de uso'!$H$12</f>
        <v>550</v>
      </c>
    </row>
    <row r="78" spans="1:33">
      <c r="A78" s="8" t="s">
        <v>29</v>
      </c>
      <c r="B78" s="9">
        <f>IF(F74=1,(100-(C75*1.875))/100,IF(F74=2,(100-(C75*1.75))/100,IF(F74=3,(100-(C75*1.625))/100,(100-(C75*1.5))/100)))</f>
        <v>1</v>
      </c>
      <c r="C78" s="10">
        <f>MIN(B75*B77*B78,C77)</f>
        <v>2593.0510470890617</v>
      </c>
      <c r="D78" s="6">
        <f>IF(B74-$B$4&gt;=1,0,C78*14*(1-(B74-$B$4)))</f>
        <v>0</v>
      </c>
      <c r="E78" s="6">
        <f>IF(D78&gt;0,C78*14*1.0025,IF(B74-$B$4&gt;=2,0,C78*14*1.0025*(1-(B74-$B$4-1))))</f>
        <v>0</v>
      </c>
      <c r="F78" s="6">
        <f>IF(E78&gt;0,C78*14*1.0025*1.0025,IF(B74-$B$4&gt;=3,0,C78*14*1.0025*1.0025*(1-(B74-$B$4-2))))</f>
        <v>15203.072450383412</v>
      </c>
      <c r="G78" s="6">
        <f>IF(F78&gt;0,C78*14*1.0025*1.0025*1.0025,IF(B74-$B$4&gt;=4,0,C78*14*1.0025*1.0025*1.0025*(1-(B74-$B$4-3))))</f>
        <v>36575.666262320992</v>
      </c>
      <c r="H78" s="6">
        <f>IF(G78&gt;0,C78*14*1.0025*1.0025*1.0025*1.0025,IF(B74-$B$4&gt;=5,0,C78*14*1.0025*1.0025*1.0025*1.0025*(1-(B74-$B$4-4))))</f>
        <v>36667.105427976792</v>
      </c>
      <c r="I78" s="6">
        <f t="shared" ref="I78:N78" si="41">H78*1.0025</f>
        <v>36758.77319154673</v>
      </c>
      <c r="J78" s="6">
        <f t="shared" si="41"/>
        <v>36850.670124525597</v>
      </c>
      <c r="K78" s="6">
        <f t="shared" si="41"/>
        <v>36942.796799836906</v>
      </c>
      <c r="L78" s="6">
        <f t="shared" si="41"/>
        <v>37035.153791836499</v>
      </c>
      <c r="M78" s="6">
        <f t="shared" si="41"/>
        <v>37127.741676316087</v>
      </c>
      <c r="N78" s="6">
        <f t="shared" si="41"/>
        <v>37220.561030506877</v>
      </c>
      <c r="O78" s="6">
        <f>N78*1.0025</f>
        <v>37313.612433083144</v>
      </c>
      <c r="P78" s="6">
        <f>O78*1.0025</f>
        <v>37406.896464165853</v>
      </c>
      <c r="Q78" s="6">
        <f t="shared" ref="Q78:AG78" si="42">P78*1.0025</f>
        <v>37500.413705326268</v>
      </c>
      <c r="R78" s="6">
        <f t="shared" si="42"/>
        <v>37594.164739589578</v>
      </c>
      <c r="S78" s="6">
        <f t="shared" si="42"/>
        <v>37688.150151438553</v>
      </c>
      <c r="T78" s="6">
        <f t="shared" si="42"/>
        <v>37782.370526817147</v>
      </c>
      <c r="U78" s="6">
        <f t="shared" si="42"/>
        <v>37876.826453134185</v>
      </c>
      <c r="V78" s="6">
        <f t="shared" si="42"/>
        <v>37971.518519267018</v>
      </c>
      <c r="W78" s="6">
        <f t="shared" si="42"/>
        <v>38066.447315565187</v>
      </c>
      <c r="X78" s="6">
        <f t="shared" si="42"/>
        <v>38161.613433854094</v>
      </c>
      <c r="Y78" s="6">
        <f t="shared" si="42"/>
        <v>38257.017467438731</v>
      </c>
      <c r="Z78" s="6">
        <f t="shared" si="42"/>
        <v>38352.660011107328</v>
      </c>
      <c r="AA78" s="6">
        <f t="shared" si="42"/>
        <v>38448.541661135096</v>
      </c>
      <c r="AB78" s="6">
        <f t="shared" si="42"/>
        <v>38544.66301528793</v>
      </c>
      <c r="AC78" s="6">
        <f t="shared" si="42"/>
        <v>38641.024672826148</v>
      </c>
      <c r="AD78" s="6">
        <f t="shared" si="42"/>
        <v>38737.627234508211</v>
      </c>
      <c r="AE78" s="6">
        <f t="shared" si="42"/>
        <v>38834.47130259448</v>
      </c>
      <c r="AF78" s="6">
        <f t="shared" si="42"/>
        <v>38931.557480850963</v>
      </c>
      <c r="AG78" s="6">
        <f t="shared" si="42"/>
        <v>39028.886374553091</v>
      </c>
    </row>
    <row r="79" spans="1:33">
      <c r="A79" s="4" t="s">
        <v>52</v>
      </c>
      <c r="B79" s="6">
        <f>C77-C78</f>
        <v>0</v>
      </c>
      <c r="C79" s="4" t="s">
        <v>57</v>
      </c>
      <c r="D79" s="6">
        <f>D78-D76</f>
        <v>-6600</v>
      </c>
      <c r="E79" s="6">
        <f>D79+E78-E76</f>
        <v>-13216.5</v>
      </c>
      <c r="F79" s="6">
        <f t="shared" ref="F79" si="43">E79+F78-F76</f>
        <v>-1882.4805107415496</v>
      </c>
      <c r="G79" s="6">
        <f t="shared" ref="G79" si="44">F79+G78-G76</f>
        <v>34693.18575157944</v>
      </c>
      <c r="H79" s="6">
        <f t="shared" ref="H79:AG79" si="45">G79+H78</f>
        <v>71360.291179556225</v>
      </c>
      <c r="I79" s="6">
        <f t="shared" si="45"/>
        <v>108119.06437110296</v>
      </c>
      <c r="J79" s="6">
        <f t="shared" si="45"/>
        <v>144969.73449562857</v>
      </c>
      <c r="K79" s="6">
        <f t="shared" si="45"/>
        <v>181912.53129546548</v>
      </c>
      <c r="L79" s="6">
        <f t="shared" si="45"/>
        <v>218947.68508730197</v>
      </c>
      <c r="M79" s="6">
        <f t="shared" si="45"/>
        <v>256075.42676361807</v>
      </c>
      <c r="N79" s="6">
        <f t="shared" si="45"/>
        <v>293295.98779412493</v>
      </c>
      <c r="O79" s="6">
        <f t="shared" si="45"/>
        <v>330609.60022720805</v>
      </c>
      <c r="P79" s="6">
        <f t="shared" si="45"/>
        <v>368016.49669137388</v>
      </c>
      <c r="Q79" s="6">
        <f t="shared" si="45"/>
        <v>405516.91039670014</v>
      </c>
      <c r="R79" s="6">
        <f t="shared" si="45"/>
        <v>443111.0751362897</v>
      </c>
      <c r="S79" s="6">
        <f t="shared" si="45"/>
        <v>480799.22528772824</v>
      </c>
      <c r="T79" s="6">
        <f t="shared" si="45"/>
        <v>518581.59581454541</v>
      </c>
      <c r="U79" s="6">
        <f t="shared" si="45"/>
        <v>556458.42226767959</v>
      </c>
      <c r="V79" s="6">
        <f t="shared" si="45"/>
        <v>594429.94078694656</v>
      </c>
      <c r="W79" s="6">
        <f t="shared" si="45"/>
        <v>632496.38810251176</v>
      </c>
      <c r="X79" s="6">
        <f t="shared" si="45"/>
        <v>670658.00153636583</v>
      </c>
      <c r="Y79" s="6">
        <f t="shared" si="45"/>
        <v>708915.01900380454</v>
      </c>
      <c r="Z79" s="6">
        <f t="shared" si="45"/>
        <v>747267.67901491188</v>
      </c>
      <c r="AA79" s="6">
        <f t="shared" si="45"/>
        <v>785716.22067604703</v>
      </c>
      <c r="AB79" s="6">
        <f t="shared" si="45"/>
        <v>824260.88369133498</v>
      </c>
      <c r="AC79" s="6">
        <f t="shared" si="45"/>
        <v>862901.90836416115</v>
      </c>
      <c r="AD79" s="6">
        <f t="shared" si="45"/>
        <v>901639.53559866932</v>
      </c>
      <c r="AE79" s="6">
        <f t="shared" si="45"/>
        <v>940474.00690126384</v>
      </c>
      <c r="AF79" s="6">
        <f t="shared" si="45"/>
        <v>979405.5643821148</v>
      </c>
      <c r="AG79" s="6">
        <f t="shared" si="45"/>
        <v>1018434.4507566679</v>
      </c>
    </row>
    <row r="80" spans="1:33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</sheetData>
  <sheetProtection password="9862" sheet="1" objects="1" scenarios="1"/>
  <conditionalFormatting sqref="E4">
    <cfRule type="expression" dxfId="40" priority="24">
      <formula>$E4&lt;33</formula>
    </cfRule>
  </conditionalFormatting>
  <conditionalFormatting sqref="E11">
    <cfRule type="expression" dxfId="39" priority="21">
      <formula>$E11&lt;33</formula>
    </cfRule>
  </conditionalFormatting>
  <conditionalFormatting sqref="B4">
    <cfRule type="expression" dxfId="38" priority="20">
      <formula>$C5&gt;16</formula>
    </cfRule>
  </conditionalFormatting>
  <conditionalFormatting sqref="B11">
    <cfRule type="expression" dxfId="37" priority="19">
      <formula>$C12&gt;16</formula>
    </cfRule>
  </conditionalFormatting>
  <conditionalFormatting sqref="E18">
    <cfRule type="expression" dxfId="36" priority="18">
      <formula>$E18&lt;33</formula>
    </cfRule>
  </conditionalFormatting>
  <conditionalFormatting sqref="B18">
    <cfRule type="expression" dxfId="35" priority="17">
      <formula>$C19&gt;16</formula>
    </cfRule>
  </conditionalFormatting>
  <conditionalFormatting sqref="E25">
    <cfRule type="expression" dxfId="34" priority="16">
      <formula>$E25&lt;33</formula>
    </cfRule>
  </conditionalFormatting>
  <conditionalFormatting sqref="B25">
    <cfRule type="expression" dxfId="33" priority="15">
      <formula>$C26&gt;16</formula>
    </cfRule>
  </conditionalFormatting>
  <conditionalFormatting sqref="E32">
    <cfRule type="expression" dxfId="32" priority="14">
      <formula>$E32&lt;33</formula>
    </cfRule>
  </conditionalFormatting>
  <conditionalFormatting sqref="B32">
    <cfRule type="expression" dxfId="31" priority="13">
      <formula>$C33&gt;16</formula>
    </cfRule>
  </conditionalFormatting>
  <conditionalFormatting sqref="E39">
    <cfRule type="expression" dxfId="30" priority="12">
      <formula>$E39&lt;33</formula>
    </cfRule>
  </conditionalFormatting>
  <conditionalFormatting sqref="B39">
    <cfRule type="expression" dxfId="29" priority="11">
      <formula>$C40&gt;16</formula>
    </cfRule>
  </conditionalFormatting>
  <conditionalFormatting sqref="E46">
    <cfRule type="expression" dxfId="28" priority="10">
      <formula>$E46&lt;33</formula>
    </cfRule>
  </conditionalFormatting>
  <conditionalFormatting sqref="B46">
    <cfRule type="expression" dxfId="27" priority="9">
      <formula>$C47&gt;16</formula>
    </cfRule>
  </conditionalFormatting>
  <conditionalFormatting sqref="E53">
    <cfRule type="expression" dxfId="26" priority="8">
      <formula>$E53&lt;33</formula>
    </cfRule>
  </conditionalFormatting>
  <conditionalFormatting sqref="B53">
    <cfRule type="expression" dxfId="25" priority="7">
      <formula>$C54&gt;16</formula>
    </cfRule>
  </conditionalFormatting>
  <conditionalFormatting sqref="E60">
    <cfRule type="expression" dxfId="24" priority="6">
      <formula>$E60&lt;33</formula>
    </cfRule>
  </conditionalFormatting>
  <conditionalFormatting sqref="B60">
    <cfRule type="expression" dxfId="23" priority="5">
      <formula>$C61&gt;16</formula>
    </cfRule>
  </conditionalFormatting>
  <conditionalFormatting sqref="E67">
    <cfRule type="expression" dxfId="22" priority="4">
      <formula>$E67&lt;33</formula>
    </cfRule>
  </conditionalFormatting>
  <conditionalFormatting sqref="B67">
    <cfRule type="expression" dxfId="21" priority="3">
      <formula>$C68&gt;16</formula>
    </cfRule>
  </conditionalFormatting>
  <conditionalFormatting sqref="E74">
    <cfRule type="expression" dxfId="20" priority="2">
      <formula>$E74&lt;33</formula>
    </cfRule>
  </conditionalFormatting>
  <conditionalFormatting sqref="B74">
    <cfRule type="expression" dxfId="19" priority="1">
      <formula>$C75&gt;16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67"/>
  <sheetViews>
    <sheetView showGridLines="0" zoomScaleNormal="100" workbookViewId="0"/>
  </sheetViews>
  <sheetFormatPr baseColWidth="10" defaultRowHeight="12.75"/>
  <cols>
    <col min="1" max="1" width="13.85546875" style="2" customWidth="1"/>
    <col min="2" max="2" width="11.42578125" style="2"/>
    <col min="3" max="3" width="13.42578125" style="2" customWidth="1"/>
    <col min="4" max="4" width="14.140625" style="2" customWidth="1"/>
    <col min="5" max="5" width="12.140625" style="2" customWidth="1"/>
    <col min="6" max="6" width="12.42578125" style="2" customWidth="1"/>
    <col min="7" max="8" width="11.42578125" style="2"/>
    <col min="9" max="9" width="11.5703125" style="2" bestFit="1" customWidth="1"/>
    <col min="10" max="30" width="11.42578125" style="2"/>
    <col min="31" max="33" width="13" style="2" customWidth="1"/>
    <col min="34" max="16384" width="11.42578125" style="2"/>
  </cols>
  <sheetData>
    <row r="2" spans="1:33" ht="15.75">
      <c r="C2" s="16" t="s">
        <v>108</v>
      </c>
    </row>
    <row r="4" spans="1:33" ht="18" customHeight="1">
      <c r="A4" s="4" t="s">
        <v>31</v>
      </c>
      <c r="B4" s="5">
        <f>J4-(C5/4)</f>
        <v>63.25</v>
      </c>
      <c r="C4" s="4" t="s">
        <v>30</v>
      </c>
      <c r="D4" s="8" t="s">
        <v>124</v>
      </c>
      <c r="E4" s="13">
        <f>'Instrucciones de uso'!P52</f>
        <v>33.799999999999997</v>
      </c>
      <c r="F4" s="31">
        <f>'Instrucciones de uso'!Q52</f>
        <v>1</v>
      </c>
      <c r="G4" s="4" t="s">
        <v>126</v>
      </c>
      <c r="H4" s="8" t="s">
        <v>125</v>
      </c>
      <c r="I4" s="11"/>
      <c r="J4" s="13">
        <f>'Instrucciones de uso'!K52</f>
        <v>65.5</v>
      </c>
    </row>
    <row r="5" spans="1:33">
      <c r="A5" s="4" t="s">
        <v>28</v>
      </c>
      <c r="B5" s="32">
        <f>'Instrucciones de uso'!$E$12*B7</f>
        <v>2800</v>
      </c>
      <c r="C5" s="33">
        <f>'Instrucciones de uso'!O52</f>
        <v>9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4" t="s">
        <v>32</v>
      </c>
      <c r="AG5" s="4" t="s">
        <v>33</v>
      </c>
    </row>
    <row r="6" spans="1:33">
      <c r="A6" s="4" t="s">
        <v>34</v>
      </c>
      <c r="B6" s="34">
        <f>IF('Instrucciones de uso'!A52&gt;'Instrucciones de uso'!L52,'Instrucciones de uso'!L52,'Instrucciones de uso'!A52)</f>
        <v>2018</v>
      </c>
      <c r="C6" s="35">
        <f>VLOOKUP(B6,'Instrucciones de uso'!$B$52:$E$61,4)</f>
        <v>2580.1342499999996</v>
      </c>
      <c r="D6" s="12">
        <f>IF($B4-$B$4&gt;=1,12*$I7,($B4-$B$4)*12*$I7)</f>
        <v>0</v>
      </c>
      <c r="E6" s="12">
        <f>IF($B4-$B$4&gt;=2,12*$I7*1.0025,IF(AND($B4-$B$4&gt;1,$B4-$B$4&lt;2),($B4-$B$4-1)*12*$I7*1.0025,0))</f>
        <v>0</v>
      </c>
      <c r="F6" s="12">
        <f>IF($B4-$B$4&gt;=3,12*$I7*1.0025*1.0025,IF(AND($B4-$B$4&gt;2,$B4-$B$4&lt;3),($B4-$B$4-2)*12*$I7*1.0025*1.0025,0))</f>
        <v>0</v>
      </c>
      <c r="G6" s="12">
        <f>IF($B4-$B$4&gt;=4,12*$I7*1.0025*1.0025*1.0025,IF(AND($B4-$B$4&gt;3,$B4-$B$4&lt;4),($B4-$B$4-3)*12*$I7*1.0025*1.0025*1.0025,0))</f>
        <v>0</v>
      </c>
      <c r="H6" s="14" t="s">
        <v>122</v>
      </c>
      <c r="I6" s="7"/>
    </row>
    <row r="7" spans="1:33">
      <c r="A7" s="4" t="s">
        <v>107</v>
      </c>
      <c r="B7" s="30">
        <f>VLOOKUP(B6,'Instrucciones de uso'!$B$52:$F$61,5)</f>
        <v>1</v>
      </c>
      <c r="C7" s="6">
        <f>C6*(100-(0.5*C5))/100</f>
        <v>2464.02820875</v>
      </c>
      <c r="D7" s="4" t="s">
        <v>123</v>
      </c>
      <c r="H7" s="8" t="s">
        <v>58</v>
      </c>
      <c r="I7" s="15">
        <f>'Instrucciones de uso'!$H$12</f>
        <v>550</v>
      </c>
    </row>
    <row r="8" spans="1:33">
      <c r="A8" s="8" t="s">
        <v>29</v>
      </c>
      <c r="B8" s="9">
        <f>IF(F4=1,(100-(C5*2))/100,IF(F4=2,(100-(C5*1.875))/100,IF(F4=3,(100-(C5*1.75))/100,(100-(C5*1.625))/100)))</f>
        <v>0.82</v>
      </c>
      <c r="C8" s="10">
        <f>MIN(B5*B7*B8,C7)</f>
        <v>2296</v>
      </c>
      <c r="D8" s="6">
        <f>IF(B4-$B$4&gt;=1,0,C8*14*(1-(B4-$B$4)))</f>
        <v>32144</v>
      </c>
      <c r="E8" s="6">
        <f>IF(D8&gt;0,C8*14*1.0025,IF(B4-$B$4&gt;=2,0,C8*14*1.0025*(1-(B4-$B$4-1))))</f>
        <v>32224.359999999997</v>
      </c>
      <c r="F8" s="6">
        <f>IF(E8&gt;0,C8*14*1.0025*1.0025,IF(B4-$B$4&gt;=3,0,C8*14*1.0025*1.0025*(1-(B4-$B$4-2))))</f>
        <v>32304.920899999994</v>
      </c>
      <c r="G8" s="6">
        <f>IF(F8&gt;0,C8*14*1.0025*1.0025*1.0025,IF(B4-$B$4&gt;=4,0,C8*14*1.0025*1.0025*1.0025*(1-(B4-$B$4-3))))</f>
        <v>32385.683202249991</v>
      </c>
      <c r="H8" s="6">
        <f>IF(G8&gt;0,C8*14*1.0025*1.0025*1.0025*1.0025,IF(B4-$B$4&gt;=5,0,C8*14*1.0025*1.0025*1.0025*1.0025*(1-(B4-$B$4-4))))</f>
        <v>32466.647410255613</v>
      </c>
      <c r="I8" s="6">
        <f t="shared" ref="I8:N8" si="0">H8*1.0025</f>
        <v>32547.814028781249</v>
      </c>
      <c r="J8" s="6">
        <f t="shared" si="0"/>
        <v>32629.183563853199</v>
      </c>
      <c r="K8" s="6">
        <f t="shared" si="0"/>
        <v>32710.756522762829</v>
      </c>
      <c r="L8" s="6">
        <f t="shared" si="0"/>
        <v>32792.533414069738</v>
      </c>
      <c r="M8" s="6">
        <f t="shared" si="0"/>
        <v>32874.51474760491</v>
      </c>
      <c r="N8" s="6">
        <f t="shared" si="0"/>
        <v>32956.701034473917</v>
      </c>
      <c r="O8" s="6">
        <f>N8*1.0025</f>
        <v>33039.092787060101</v>
      </c>
      <c r="P8" s="6">
        <f>O8*1.0025</f>
        <v>33121.690519027747</v>
      </c>
      <c r="Q8" s="6">
        <f t="shared" ref="Q8:AG8" si="1">P8*1.0025</f>
        <v>33204.494745325312</v>
      </c>
      <c r="R8" s="6">
        <f t="shared" si="1"/>
        <v>33287.505982188624</v>
      </c>
      <c r="S8" s="6">
        <f t="shared" si="1"/>
        <v>33370.724747144093</v>
      </c>
      <c r="T8" s="6">
        <f t="shared" si="1"/>
        <v>33454.151559011952</v>
      </c>
      <c r="U8" s="6">
        <f t="shared" si="1"/>
        <v>33537.786937909477</v>
      </c>
      <c r="V8" s="6">
        <f t="shared" si="1"/>
        <v>33621.631405254251</v>
      </c>
      <c r="W8" s="6">
        <f t="shared" si="1"/>
        <v>33705.685483767382</v>
      </c>
      <c r="X8" s="6">
        <f t="shared" si="1"/>
        <v>33789.949697476797</v>
      </c>
      <c r="Y8" s="6">
        <f t="shared" si="1"/>
        <v>33874.42457172049</v>
      </c>
      <c r="Z8" s="6">
        <f t="shared" si="1"/>
        <v>33959.110633149787</v>
      </c>
      <c r="AA8" s="6">
        <f t="shared" si="1"/>
        <v>34044.008409732662</v>
      </c>
      <c r="AB8" s="6">
        <f t="shared" si="1"/>
        <v>34129.118430756993</v>
      </c>
      <c r="AC8" s="6">
        <f t="shared" si="1"/>
        <v>34214.441226833886</v>
      </c>
      <c r="AD8" s="6">
        <f t="shared" si="1"/>
        <v>34299.977329900968</v>
      </c>
      <c r="AE8" s="6">
        <f t="shared" si="1"/>
        <v>34385.727273225719</v>
      </c>
      <c r="AF8" s="6">
        <f t="shared" si="1"/>
        <v>34471.69159140878</v>
      </c>
      <c r="AG8" s="6">
        <f t="shared" si="1"/>
        <v>34557.870820387303</v>
      </c>
    </row>
    <row r="9" spans="1:33">
      <c r="A9" s="4" t="s">
        <v>52</v>
      </c>
      <c r="B9" s="6">
        <f>C7-C8</f>
        <v>168.02820874999998</v>
      </c>
      <c r="C9" s="4" t="s">
        <v>57</v>
      </c>
      <c r="D9" s="6">
        <f>D8-D6</f>
        <v>32144</v>
      </c>
      <c r="E9" s="6">
        <f>D9+E8-E6</f>
        <v>64368.36</v>
      </c>
      <c r="F9" s="6">
        <f t="shared" ref="F9:G9" si="2">E9+F8-F6</f>
        <v>96673.280899999998</v>
      </c>
      <c r="G9" s="6">
        <f t="shared" si="2"/>
        <v>129058.96410224999</v>
      </c>
      <c r="H9" s="6">
        <f t="shared" ref="H9:AG9" si="3">G9+H8</f>
        <v>161525.61151250559</v>
      </c>
      <c r="I9" s="6">
        <f t="shared" si="3"/>
        <v>194073.42554128685</v>
      </c>
      <c r="J9" s="6">
        <f t="shared" si="3"/>
        <v>226702.60910514006</v>
      </c>
      <c r="K9" s="6">
        <f t="shared" si="3"/>
        <v>259413.36562790288</v>
      </c>
      <c r="L9" s="6">
        <f t="shared" si="3"/>
        <v>292205.89904197259</v>
      </c>
      <c r="M9" s="6">
        <f t="shared" si="3"/>
        <v>325080.41378957749</v>
      </c>
      <c r="N9" s="6">
        <f t="shared" si="3"/>
        <v>358037.11482405139</v>
      </c>
      <c r="O9" s="6">
        <f t="shared" si="3"/>
        <v>391076.20761111146</v>
      </c>
      <c r="P9" s="6">
        <f t="shared" si="3"/>
        <v>424197.89813013922</v>
      </c>
      <c r="Q9" s="6">
        <f t="shared" si="3"/>
        <v>457402.39287546452</v>
      </c>
      <c r="R9" s="6">
        <f t="shared" si="3"/>
        <v>490689.89885765314</v>
      </c>
      <c r="S9" s="6">
        <f t="shared" si="3"/>
        <v>524060.62360479723</v>
      </c>
      <c r="T9" s="6">
        <f t="shared" si="3"/>
        <v>557514.77516380919</v>
      </c>
      <c r="U9" s="6">
        <f t="shared" si="3"/>
        <v>591052.56210171862</v>
      </c>
      <c r="V9" s="6">
        <f t="shared" si="3"/>
        <v>624674.19350697286</v>
      </c>
      <c r="W9" s="6">
        <f t="shared" si="3"/>
        <v>658379.87899074028</v>
      </c>
      <c r="X9" s="6">
        <f t="shared" si="3"/>
        <v>692169.82868821709</v>
      </c>
      <c r="Y9" s="6">
        <f t="shared" si="3"/>
        <v>726044.25325993763</v>
      </c>
      <c r="Z9" s="6">
        <f t="shared" si="3"/>
        <v>760003.36389308737</v>
      </c>
      <c r="AA9" s="6">
        <f t="shared" si="3"/>
        <v>794047.37230281997</v>
      </c>
      <c r="AB9" s="6">
        <f t="shared" si="3"/>
        <v>828176.49073357694</v>
      </c>
      <c r="AC9" s="6">
        <f t="shared" si="3"/>
        <v>862390.93196041079</v>
      </c>
      <c r="AD9" s="6">
        <f t="shared" si="3"/>
        <v>896690.90929031174</v>
      </c>
      <c r="AE9" s="6">
        <f t="shared" si="3"/>
        <v>931076.63656353741</v>
      </c>
      <c r="AF9" s="6">
        <f t="shared" si="3"/>
        <v>965548.32815494621</v>
      </c>
      <c r="AG9" s="6">
        <f t="shared" si="3"/>
        <v>1000106.1989753335</v>
      </c>
    </row>
    <row r="10" spans="1:33">
      <c r="C10" s="3"/>
      <c r="D10" s="3"/>
      <c r="E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8" customHeight="1">
      <c r="A11" s="4" t="s">
        <v>31</v>
      </c>
      <c r="B11" s="5">
        <f>IF($B$4+(0.25*1)&gt;J11,J11,($B$4+(0.25*1)))</f>
        <v>63.5</v>
      </c>
      <c r="C11" s="4" t="s">
        <v>30</v>
      </c>
      <c r="D11" s="8" t="s">
        <v>124</v>
      </c>
      <c r="E11" s="13">
        <f>'Instrucciones de uso'!P53</f>
        <v>34.049999999999997</v>
      </c>
      <c r="F11" s="31">
        <f>'Instrucciones de uso'!Q53</f>
        <v>1</v>
      </c>
      <c r="G11" s="4" t="s">
        <v>126</v>
      </c>
      <c r="H11" s="8" t="s">
        <v>125</v>
      </c>
      <c r="I11" s="11"/>
      <c r="J11" s="13">
        <f>'Instrucciones de uso'!K53</f>
        <v>65.5</v>
      </c>
    </row>
    <row r="12" spans="1:33">
      <c r="A12" s="4" t="s">
        <v>28</v>
      </c>
      <c r="B12" s="32">
        <f>'Instrucciones de uso'!$E$12*B14</f>
        <v>2800</v>
      </c>
      <c r="C12" s="33">
        <f>INT((J11-B11)*4)</f>
        <v>8</v>
      </c>
      <c r="D12" s="4" t="s">
        <v>0</v>
      </c>
      <c r="E12" s="4" t="s">
        <v>1</v>
      </c>
      <c r="F12" s="4" t="s">
        <v>2</v>
      </c>
      <c r="G12" s="4" t="s">
        <v>3</v>
      </c>
      <c r="H12" s="4" t="s">
        <v>4</v>
      </c>
      <c r="I12" s="4" t="s">
        <v>5</v>
      </c>
      <c r="J12" s="4" t="s">
        <v>6</v>
      </c>
      <c r="K12" s="4" t="s">
        <v>7</v>
      </c>
      <c r="L12" s="4" t="s">
        <v>8</v>
      </c>
      <c r="M12" s="4" t="s">
        <v>9</v>
      </c>
      <c r="N12" s="4" t="s">
        <v>10</v>
      </c>
      <c r="O12" s="4" t="s">
        <v>11</v>
      </c>
      <c r="P12" s="4" t="s">
        <v>12</v>
      </c>
      <c r="Q12" s="4" t="s">
        <v>13</v>
      </c>
      <c r="R12" s="4" t="s">
        <v>14</v>
      </c>
      <c r="S12" s="4" t="s">
        <v>15</v>
      </c>
      <c r="T12" s="4" t="s">
        <v>16</v>
      </c>
      <c r="U12" s="4" t="s">
        <v>17</v>
      </c>
      <c r="V12" s="4" t="s">
        <v>18</v>
      </c>
      <c r="W12" s="4" t="s">
        <v>19</v>
      </c>
      <c r="X12" s="4" t="s">
        <v>20</v>
      </c>
      <c r="Y12" s="4" t="s">
        <v>21</v>
      </c>
      <c r="Z12" s="4" t="s">
        <v>22</v>
      </c>
      <c r="AA12" s="4" t="s">
        <v>23</v>
      </c>
      <c r="AB12" s="4" t="s">
        <v>24</v>
      </c>
      <c r="AC12" s="4" t="s">
        <v>25</v>
      </c>
      <c r="AD12" s="4" t="s">
        <v>26</v>
      </c>
      <c r="AE12" s="4" t="s">
        <v>27</v>
      </c>
      <c r="AF12" s="4" t="s">
        <v>32</v>
      </c>
      <c r="AG12" s="4" t="s">
        <v>33</v>
      </c>
    </row>
    <row r="13" spans="1:33">
      <c r="A13" s="4" t="s">
        <v>34</v>
      </c>
      <c r="B13" s="34">
        <f>IF('Instrucciones de uso'!A53&gt;'Instrucciones de uso'!L53,'Instrucciones de uso'!L53,'Instrucciones de uso'!A53)</f>
        <v>2018</v>
      </c>
      <c r="C13" s="35">
        <f>VLOOKUP(B13,'Instrucciones de uso'!$B$52:$E$61,4)</f>
        <v>2580.1342499999996</v>
      </c>
      <c r="D13" s="12">
        <f>IF($B11-$B$4&gt;=1,12*$I14,($B11-$B$4)*12*$I14)</f>
        <v>1650</v>
      </c>
      <c r="E13" s="12">
        <f>IF($B11-$B$4&gt;=2,12*$I14*1.0025,IF(AND($B11-$B$4&gt;1,$B11-$B$4&lt;2),($B11-$B$4-1)*12*$I14*1.0025,0))</f>
        <v>0</v>
      </c>
      <c r="F13" s="12">
        <f>IF($B11-$B$4&gt;=3,12*$I14*1.0025*1.0025,IF(AND($B11-$B$4&gt;2,$B11-$B$4&lt;3),($B11-$B$4-2)*12*$I14*1.0025*1.0025,0))</f>
        <v>0</v>
      </c>
      <c r="G13" s="12">
        <f>IF($B11-$B$4&gt;=4,12*$I14*1.0025*1.0025*1.0025,IF(AND($B11-$B$4&gt;3,$B11-$B$4&lt;4),($B11-$B$4-3)*12*$I14*1.0025*1.0025*1.0025,0))</f>
        <v>0</v>
      </c>
      <c r="H13" s="14" t="s">
        <v>122</v>
      </c>
      <c r="I13" s="7"/>
    </row>
    <row r="14" spans="1:33">
      <c r="A14" s="4" t="s">
        <v>107</v>
      </c>
      <c r="B14" s="30">
        <f>VLOOKUP(B13,'Instrucciones de uso'!$B$52:$F$61,5)</f>
        <v>1</v>
      </c>
      <c r="C14" s="6">
        <f>C13*(100-(0.5*C12))/100</f>
        <v>2476.9288799999999</v>
      </c>
      <c r="D14" s="4" t="s">
        <v>123</v>
      </c>
      <c r="H14" s="8" t="s">
        <v>58</v>
      </c>
      <c r="I14" s="15">
        <f>'Instrucciones de uso'!$H$12</f>
        <v>550</v>
      </c>
    </row>
    <row r="15" spans="1:33">
      <c r="A15" s="8" t="s">
        <v>29</v>
      </c>
      <c r="B15" s="9">
        <f>IF(F11=1,(100-(C12*2))/100,IF(F11=2,(100-(C12*1.875))/100,IF(F11=3,(100-(C12*1.75))/100,(100-(C12*1.625))/100)))</f>
        <v>0.84</v>
      </c>
      <c r="C15" s="10">
        <f>MIN(B12*B14*B15,C14)</f>
        <v>2352</v>
      </c>
      <c r="D15" s="6">
        <f>IF(B11-$B$4&gt;=1,0,C15*14*(1-(B11-$B$4)))</f>
        <v>24696</v>
      </c>
      <c r="E15" s="6">
        <f>IF(D15&gt;0,C15*14*1.0025,IF(B11-$B$4&gt;=2,0,C15*14*1.0025*(1-(B11-$B$4-1))))</f>
        <v>33010.32</v>
      </c>
      <c r="F15" s="6">
        <f>IF(E15&gt;0,C15*14*1.0025*1.0025,IF(B11-$B$4&gt;=3,0,C15*14*1.0025*1.0025*(1-(B11-$B$4-2))))</f>
        <v>33092.845799999996</v>
      </c>
      <c r="G15" s="6">
        <f>IF(F15&gt;0,C15*14*1.0025*1.0025*1.0025,IF(B11-$B$4&gt;=4,0,C15*14*1.0025*1.0025*1.0025*(1-(B11-$B$4-3))))</f>
        <v>33175.577914499991</v>
      </c>
      <c r="H15" s="6">
        <f>IF(G15&gt;0,C15*14*1.0025*1.0025*1.0025*1.0025,IF(B11-$B$4&gt;=5,0,C15*14*1.0025*1.0025*1.0025*1.0025*(1-(B11-$B$4-4))))</f>
        <v>33258.516859286239</v>
      </c>
      <c r="I15" s="6">
        <f t="shared" ref="I15:AG15" si="4">H15*1.0025</f>
        <v>33341.663151434455</v>
      </c>
      <c r="J15" s="6">
        <f t="shared" si="4"/>
        <v>33425.017309313036</v>
      </c>
      <c r="K15" s="6">
        <f t="shared" si="4"/>
        <v>33508.579852586314</v>
      </c>
      <c r="L15" s="6">
        <f t="shared" si="4"/>
        <v>33592.351302217779</v>
      </c>
      <c r="M15" s="6">
        <f t="shared" si="4"/>
        <v>33676.33218047332</v>
      </c>
      <c r="N15" s="6">
        <f t="shared" si="4"/>
        <v>33760.523010924502</v>
      </c>
      <c r="O15" s="6">
        <f t="shared" si="4"/>
        <v>33844.924318451813</v>
      </c>
      <c r="P15" s="6">
        <f t="shared" si="4"/>
        <v>33929.536629247938</v>
      </c>
      <c r="Q15" s="6">
        <f t="shared" si="4"/>
        <v>34014.360470821055</v>
      </c>
      <c r="R15" s="6">
        <f t="shared" si="4"/>
        <v>34099.396371998104</v>
      </c>
      <c r="S15" s="6">
        <f t="shared" si="4"/>
        <v>34184.6448629281</v>
      </c>
      <c r="T15" s="6">
        <f t="shared" si="4"/>
        <v>34270.10647508542</v>
      </c>
      <c r="U15" s="6">
        <f t="shared" si="4"/>
        <v>34355.781741273131</v>
      </c>
      <c r="V15" s="6">
        <f t="shared" si="4"/>
        <v>34441.67119562631</v>
      </c>
      <c r="W15" s="6">
        <f t="shared" si="4"/>
        <v>34527.775373615375</v>
      </c>
      <c r="X15" s="6">
        <f t="shared" si="4"/>
        <v>34614.094812049414</v>
      </c>
      <c r="Y15" s="6">
        <f t="shared" si="4"/>
        <v>34700.630049079533</v>
      </c>
      <c r="Z15" s="6">
        <f t="shared" si="4"/>
        <v>34787.381624202229</v>
      </c>
      <c r="AA15" s="6">
        <f t="shared" si="4"/>
        <v>34874.350078262731</v>
      </c>
      <c r="AB15" s="6">
        <f t="shared" si="4"/>
        <v>34961.535953458384</v>
      </c>
      <c r="AC15" s="6">
        <f t="shared" si="4"/>
        <v>35048.939793342026</v>
      </c>
      <c r="AD15" s="6">
        <f t="shared" si="4"/>
        <v>35136.56214282538</v>
      </c>
      <c r="AE15" s="6">
        <f t="shared" si="4"/>
        <v>35224.403548182439</v>
      </c>
      <c r="AF15" s="6">
        <f t="shared" si="4"/>
        <v>35312.464557052896</v>
      </c>
      <c r="AG15" s="6">
        <f t="shared" si="4"/>
        <v>35400.745718445527</v>
      </c>
    </row>
    <row r="16" spans="1:33">
      <c r="A16" s="4" t="s">
        <v>52</v>
      </c>
      <c r="B16" s="6">
        <f>C14-C15</f>
        <v>124.92887999999994</v>
      </c>
      <c r="C16" s="4" t="s">
        <v>57</v>
      </c>
      <c r="D16" s="6">
        <f>D15-D13</f>
        <v>23046</v>
      </c>
      <c r="E16" s="6">
        <f>D16+E15-E13</f>
        <v>56056.32</v>
      </c>
      <c r="F16" s="6">
        <f t="shared" ref="F16:G16" si="5">E16+F15-F13</f>
        <v>89149.165799999988</v>
      </c>
      <c r="G16" s="6">
        <f t="shared" si="5"/>
        <v>122324.74371449999</v>
      </c>
      <c r="H16" s="6">
        <f t="shared" ref="H16:AG16" si="6">G16+H15</f>
        <v>155583.26057378622</v>
      </c>
      <c r="I16" s="6">
        <f t="shared" si="6"/>
        <v>188924.92372522067</v>
      </c>
      <c r="J16" s="6">
        <f t="shared" si="6"/>
        <v>222349.94103453369</v>
      </c>
      <c r="K16" s="6">
        <f t="shared" si="6"/>
        <v>255858.52088712002</v>
      </c>
      <c r="L16" s="6">
        <f t="shared" si="6"/>
        <v>289450.8721893378</v>
      </c>
      <c r="M16" s="6">
        <f t="shared" si="6"/>
        <v>323127.20436981111</v>
      </c>
      <c r="N16" s="6">
        <f t="shared" si="6"/>
        <v>356887.72738073563</v>
      </c>
      <c r="O16" s="6">
        <f t="shared" si="6"/>
        <v>390732.65169918747</v>
      </c>
      <c r="P16" s="6">
        <f t="shared" si="6"/>
        <v>424662.18832843541</v>
      </c>
      <c r="Q16" s="6">
        <f t="shared" si="6"/>
        <v>458676.54879925644</v>
      </c>
      <c r="R16" s="6">
        <f t="shared" si="6"/>
        <v>492775.94517125457</v>
      </c>
      <c r="S16" s="6">
        <f t="shared" si="6"/>
        <v>526960.59003418265</v>
      </c>
      <c r="T16" s="6">
        <f t="shared" si="6"/>
        <v>561230.69650926802</v>
      </c>
      <c r="U16" s="6">
        <f t="shared" si="6"/>
        <v>595586.47825054114</v>
      </c>
      <c r="V16" s="6">
        <f t="shared" si="6"/>
        <v>630028.1494461674</v>
      </c>
      <c r="W16" s="6">
        <f t="shared" si="6"/>
        <v>664555.92481978273</v>
      </c>
      <c r="X16" s="6">
        <f t="shared" si="6"/>
        <v>699170.01963183214</v>
      </c>
      <c r="Y16" s="6">
        <f t="shared" si="6"/>
        <v>733870.64968091168</v>
      </c>
      <c r="Z16" s="6">
        <f t="shared" si="6"/>
        <v>768658.03130511392</v>
      </c>
      <c r="AA16" s="6">
        <f t="shared" si="6"/>
        <v>803532.38138337666</v>
      </c>
      <c r="AB16" s="6">
        <f t="shared" si="6"/>
        <v>838493.91733683506</v>
      </c>
      <c r="AC16" s="6">
        <f t="shared" si="6"/>
        <v>873542.85713017709</v>
      </c>
      <c r="AD16" s="6">
        <f t="shared" si="6"/>
        <v>908679.41927300242</v>
      </c>
      <c r="AE16" s="6">
        <f t="shared" si="6"/>
        <v>943903.82282118488</v>
      </c>
      <c r="AF16" s="6">
        <f t="shared" si="6"/>
        <v>979216.28737823782</v>
      </c>
      <c r="AG16" s="6">
        <f t="shared" si="6"/>
        <v>1014617.0330966833</v>
      </c>
    </row>
    <row r="17" spans="1:33">
      <c r="C17" s="3"/>
      <c r="D17" s="3"/>
      <c r="E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8" customHeight="1">
      <c r="A18" s="4" t="s">
        <v>31</v>
      </c>
      <c r="B18" s="5">
        <f>IF($B$4+(0.25*2)&gt;J18,J18,($B$4+(0.25*2)))</f>
        <v>63.75</v>
      </c>
      <c r="C18" s="4" t="s">
        <v>30</v>
      </c>
      <c r="D18" s="8" t="s">
        <v>124</v>
      </c>
      <c r="E18" s="13">
        <f>'Instrucciones de uso'!P54</f>
        <v>34.299999999999997</v>
      </c>
      <c r="F18" s="31">
        <f>'Instrucciones de uso'!Q54</f>
        <v>1</v>
      </c>
      <c r="G18" s="4" t="s">
        <v>126</v>
      </c>
      <c r="H18" s="8" t="s">
        <v>125</v>
      </c>
      <c r="I18" s="11"/>
      <c r="J18" s="13">
        <f>'Instrucciones de uso'!K54</f>
        <v>65.5</v>
      </c>
    </row>
    <row r="19" spans="1:33">
      <c r="A19" s="4" t="s">
        <v>28</v>
      </c>
      <c r="B19" s="32">
        <f>'Instrucciones de uso'!$E$12*B21</f>
        <v>2800</v>
      </c>
      <c r="C19" s="33">
        <f>INT((J18-B18)*4)</f>
        <v>7</v>
      </c>
      <c r="D19" s="4" t="s">
        <v>0</v>
      </c>
      <c r="E19" s="4" t="s">
        <v>1</v>
      </c>
      <c r="F19" s="4" t="s">
        <v>2</v>
      </c>
      <c r="G19" s="4" t="s">
        <v>3</v>
      </c>
      <c r="H19" s="4" t="s">
        <v>4</v>
      </c>
      <c r="I19" s="4" t="s">
        <v>5</v>
      </c>
      <c r="J19" s="4" t="s">
        <v>6</v>
      </c>
      <c r="K19" s="4" t="s">
        <v>7</v>
      </c>
      <c r="L19" s="4" t="s">
        <v>8</v>
      </c>
      <c r="M19" s="4" t="s">
        <v>9</v>
      </c>
      <c r="N19" s="4" t="s">
        <v>10</v>
      </c>
      <c r="O19" s="4" t="s">
        <v>11</v>
      </c>
      <c r="P19" s="4" t="s">
        <v>12</v>
      </c>
      <c r="Q19" s="4" t="s">
        <v>13</v>
      </c>
      <c r="R19" s="4" t="s">
        <v>14</v>
      </c>
      <c r="S19" s="4" t="s">
        <v>15</v>
      </c>
      <c r="T19" s="4" t="s">
        <v>16</v>
      </c>
      <c r="U19" s="4" t="s">
        <v>17</v>
      </c>
      <c r="V19" s="4" t="s">
        <v>18</v>
      </c>
      <c r="W19" s="4" t="s">
        <v>19</v>
      </c>
      <c r="X19" s="4" t="s">
        <v>20</v>
      </c>
      <c r="Y19" s="4" t="s">
        <v>21</v>
      </c>
      <c r="Z19" s="4" t="s">
        <v>22</v>
      </c>
      <c r="AA19" s="4" t="s">
        <v>23</v>
      </c>
      <c r="AB19" s="4" t="s">
        <v>24</v>
      </c>
      <c r="AC19" s="4" t="s">
        <v>25</v>
      </c>
      <c r="AD19" s="4" t="s">
        <v>26</v>
      </c>
      <c r="AE19" s="4" t="s">
        <v>27</v>
      </c>
      <c r="AF19" s="4" t="s">
        <v>32</v>
      </c>
      <c r="AG19" s="4" t="s">
        <v>33</v>
      </c>
    </row>
    <row r="20" spans="1:33">
      <c r="A20" s="4" t="s">
        <v>34</v>
      </c>
      <c r="B20" s="34">
        <f>IF('Instrucciones de uso'!A54&gt;'Instrucciones de uso'!L54,'Instrucciones de uso'!L54,'Instrucciones de uso'!A54)</f>
        <v>2018</v>
      </c>
      <c r="C20" s="35">
        <f>VLOOKUP(B20,'Instrucciones de uso'!$B$52:$E$61,4)</f>
        <v>2580.1342499999996</v>
      </c>
      <c r="D20" s="12">
        <f>IF($B18-$B$4&gt;=1,12*$I21,($B18-$B$4)*12*$I21)</f>
        <v>3300</v>
      </c>
      <c r="E20" s="12">
        <f>IF($B18-$B$4&gt;=2,12*$I21*1.0025,IF(AND($B18-$B$4&gt;1,$B18-$B$4&lt;2),($B18-$B$4-1)*12*$I21*1.0025,0))</f>
        <v>0</v>
      </c>
      <c r="F20" s="12">
        <f>IF($B18-$B$4&gt;=3,12*$I21*1.0025*1.0025,IF(AND($B18-$B$4&gt;2,$B18-$B$4&lt;3),($B18-$B$4-2)*12*$I21*1.0025*1.0025,0))</f>
        <v>0</v>
      </c>
      <c r="G20" s="12">
        <f>IF($B18-$B$4&gt;=4,12*$I21*1.0025*1.0025*1.0025,IF(AND($B18-$B$4&gt;3,$B18-$B$4&lt;4),($B18-$B$4-3)*12*$I21*1.0025*1.0025*1.0025,0))</f>
        <v>0</v>
      </c>
      <c r="H20" s="14" t="s">
        <v>122</v>
      </c>
      <c r="I20" s="7"/>
    </row>
    <row r="21" spans="1:33">
      <c r="A21" s="4" t="s">
        <v>107</v>
      </c>
      <c r="B21" s="30">
        <f>VLOOKUP(B20,'Instrucciones de uso'!$B$52:$F$61,5)</f>
        <v>1</v>
      </c>
      <c r="C21" s="6">
        <f>C20*(100-(0.5*C19))/100</f>
        <v>2489.8295512499994</v>
      </c>
      <c r="D21" s="4" t="s">
        <v>123</v>
      </c>
      <c r="H21" s="8" t="s">
        <v>58</v>
      </c>
      <c r="I21" s="15">
        <f>'Instrucciones de uso'!$H$12</f>
        <v>550</v>
      </c>
    </row>
    <row r="22" spans="1:33">
      <c r="A22" s="8" t="s">
        <v>29</v>
      </c>
      <c r="B22" s="9">
        <f>IF(F18=1,(100-(C19*2))/100,IF(F18=2,(100-(C19*1.875))/100,IF(F18=3,(100-(C19*1.75))/100,(100-(C19*1.625))/100)))</f>
        <v>0.86</v>
      </c>
      <c r="C22" s="10">
        <f>MIN(B19*B21*B22,C21)</f>
        <v>2408</v>
      </c>
      <c r="D22" s="6">
        <f>IF(B18-$B$4&gt;=1,0,C22*14*(1-(B18-$B$4)))</f>
        <v>16856</v>
      </c>
      <c r="E22" s="6">
        <f>IF(D22&gt;0,C22*14*1.0025,IF(B18-$B$4&gt;=2,0,C22*14*1.0025*(1-(B18-$B$4-1))))</f>
        <v>33796.28</v>
      </c>
      <c r="F22" s="6">
        <f>IF(E22&gt;0,C22*14*1.0025*1.0025,IF(B18-$B$4&gt;=3,0,C22*14*1.0025*1.0025*(1-(B18-$B$4-2))))</f>
        <v>33880.770699999994</v>
      </c>
      <c r="G22" s="6">
        <f>IF(F22&gt;0,C22*14*1.0025*1.0025*1.0025,IF(B18-$B$4&gt;=4,0,C22*14*1.0025*1.0025*1.0025*(1-(B18-$B$4-3))))</f>
        <v>33965.472626749994</v>
      </c>
      <c r="H22" s="6">
        <f>IF(G22&gt;0,C22*14*1.0025*1.0025*1.0025*1.0025,IF(B18-$B$4&gt;=5,0,C22*14*1.0025*1.0025*1.0025*1.0025*(1-(B18-$B$4-4))))</f>
        <v>34050.386308316869</v>
      </c>
      <c r="I22" s="6">
        <f t="shared" ref="I22:AG22" si="7">H22*1.0025</f>
        <v>34135.512274087661</v>
      </c>
      <c r="J22" s="6">
        <f t="shared" si="7"/>
        <v>34220.85105477288</v>
      </c>
      <c r="K22" s="6">
        <f t="shared" si="7"/>
        <v>34306.403182409813</v>
      </c>
      <c r="L22" s="6">
        <f t="shared" si="7"/>
        <v>34392.169190365836</v>
      </c>
      <c r="M22" s="6">
        <f t="shared" si="7"/>
        <v>34478.149613341746</v>
      </c>
      <c r="N22" s="6">
        <f t="shared" si="7"/>
        <v>34564.344987375101</v>
      </c>
      <c r="O22" s="6">
        <f t="shared" si="7"/>
        <v>34650.755849843539</v>
      </c>
      <c r="P22" s="6">
        <f t="shared" si="7"/>
        <v>34737.382739468143</v>
      </c>
      <c r="Q22" s="6">
        <f t="shared" si="7"/>
        <v>34824.226196316813</v>
      </c>
      <c r="R22" s="6">
        <f t="shared" si="7"/>
        <v>34911.286761807605</v>
      </c>
      <c r="S22" s="6">
        <f t="shared" si="7"/>
        <v>34998.564978712122</v>
      </c>
      <c r="T22" s="6">
        <f t="shared" si="7"/>
        <v>35086.061391158903</v>
      </c>
      <c r="U22" s="6">
        <f t="shared" si="7"/>
        <v>35173.776544636799</v>
      </c>
      <c r="V22" s="6">
        <f t="shared" si="7"/>
        <v>35261.71098599839</v>
      </c>
      <c r="W22" s="6">
        <f t="shared" si="7"/>
        <v>35349.865263463384</v>
      </c>
      <c r="X22" s="6">
        <f t="shared" si="7"/>
        <v>35438.239926622038</v>
      </c>
      <c r="Y22" s="6">
        <f t="shared" si="7"/>
        <v>35526.83552643859</v>
      </c>
      <c r="Z22" s="6">
        <f t="shared" si="7"/>
        <v>35615.652615254687</v>
      </c>
      <c r="AA22" s="6">
        <f t="shared" si="7"/>
        <v>35704.691746792822</v>
      </c>
      <c r="AB22" s="6">
        <f t="shared" si="7"/>
        <v>35793.953476159804</v>
      </c>
      <c r="AC22" s="6">
        <f t="shared" si="7"/>
        <v>35883.438359850203</v>
      </c>
      <c r="AD22" s="6">
        <f t="shared" si="7"/>
        <v>35973.146955749828</v>
      </c>
      <c r="AE22" s="6">
        <f t="shared" si="7"/>
        <v>36063.079823139204</v>
      </c>
      <c r="AF22" s="6">
        <f t="shared" si="7"/>
        <v>36153.237522697047</v>
      </c>
      <c r="AG22" s="6">
        <f t="shared" si="7"/>
        <v>36243.620616503787</v>
      </c>
    </row>
    <row r="23" spans="1:33">
      <c r="A23" s="4" t="s">
        <v>52</v>
      </c>
      <c r="B23" s="6">
        <f>C21-C22</f>
        <v>81.82955124999944</v>
      </c>
      <c r="C23" s="4" t="s">
        <v>57</v>
      </c>
      <c r="D23" s="6">
        <f>D22-D20</f>
        <v>13556</v>
      </c>
      <c r="E23" s="6">
        <f>D23+E22-E20</f>
        <v>47352.28</v>
      </c>
      <c r="F23" s="6">
        <f t="shared" ref="F23:G23" si="8">E23+F22-F20</f>
        <v>81233.050699999993</v>
      </c>
      <c r="G23" s="6">
        <f t="shared" si="8"/>
        <v>115198.52332674999</v>
      </c>
      <c r="H23" s="6">
        <f t="shared" ref="H23:AG23" si="9">G23+H22</f>
        <v>149248.90963506687</v>
      </c>
      <c r="I23" s="6">
        <f t="shared" si="9"/>
        <v>183384.42190915454</v>
      </c>
      <c r="J23" s="6">
        <f t="shared" si="9"/>
        <v>217605.27296392742</v>
      </c>
      <c r="K23" s="6">
        <f t="shared" si="9"/>
        <v>251911.67614633724</v>
      </c>
      <c r="L23" s="6">
        <f t="shared" si="9"/>
        <v>286303.84533670306</v>
      </c>
      <c r="M23" s="6">
        <f t="shared" si="9"/>
        <v>320781.99495004478</v>
      </c>
      <c r="N23" s="6">
        <f t="shared" si="9"/>
        <v>355346.33993741986</v>
      </c>
      <c r="O23" s="6">
        <f t="shared" si="9"/>
        <v>389997.09578726342</v>
      </c>
      <c r="P23" s="6">
        <f t="shared" si="9"/>
        <v>424734.47852673155</v>
      </c>
      <c r="Q23" s="6">
        <f t="shared" si="9"/>
        <v>459558.70472304837</v>
      </c>
      <c r="R23" s="6">
        <f t="shared" si="9"/>
        <v>494469.991484856</v>
      </c>
      <c r="S23" s="6">
        <f t="shared" si="9"/>
        <v>529468.55646356812</v>
      </c>
      <c r="T23" s="6">
        <f t="shared" si="9"/>
        <v>564554.61785472697</v>
      </c>
      <c r="U23" s="6">
        <f t="shared" si="9"/>
        <v>599728.39439936378</v>
      </c>
      <c r="V23" s="6">
        <f t="shared" si="9"/>
        <v>634990.10538536217</v>
      </c>
      <c r="W23" s="6">
        <f t="shared" si="9"/>
        <v>670339.97064882552</v>
      </c>
      <c r="X23" s="6">
        <f t="shared" si="9"/>
        <v>705778.21057544753</v>
      </c>
      <c r="Y23" s="6">
        <f t="shared" si="9"/>
        <v>741305.04610188608</v>
      </c>
      <c r="Z23" s="6">
        <f t="shared" si="9"/>
        <v>776920.69871714083</v>
      </c>
      <c r="AA23" s="6">
        <f t="shared" si="9"/>
        <v>812625.3904639337</v>
      </c>
      <c r="AB23" s="6">
        <f t="shared" si="9"/>
        <v>848419.34394009353</v>
      </c>
      <c r="AC23" s="6">
        <f t="shared" si="9"/>
        <v>884302.78229994373</v>
      </c>
      <c r="AD23" s="6">
        <f t="shared" si="9"/>
        <v>920275.92925569357</v>
      </c>
      <c r="AE23" s="6">
        <f t="shared" si="9"/>
        <v>956339.00907883281</v>
      </c>
      <c r="AF23" s="6">
        <f t="shared" si="9"/>
        <v>992492.24660152989</v>
      </c>
      <c r="AG23" s="6">
        <f t="shared" si="9"/>
        <v>1028735.8672180336</v>
      </c>
    </row>
    <row r="25" spans="1:33" ht="18" customHeight="1">
      <c r="A25" s="4" t="s">
        <v>31</v>
      </c>
      <c r="B25" s="5">
        <f>IF($B$4+(0.25*3)&gt;J25,J25,($B$4+(0.25*3)))</f>
        <v>64</v>
      </c>
      <c r="C25" s="4" t="s">
        <v>30</v>
      </c>
      <c r="D25" s="8" t="s">
        <v>124</v>
      </c>
      <c r="E25" s="13">
        <f>'Instrucciones de uso'!P55</f>
        <v>34.549999999999997</v>
      </c>
      <c r="F25" s="31">
        <f>'Instrucciones de uso'!Q55</f>
        <v>1</v>
      </c>
      <c r="G25" s="4" t="s">
        <v>126</v>
      </c>
      <c r="H25" s="8" t="s">
        <v>125</v>
      </c>
      <c r="I25" s="11"/>
      <c r="J25" s="13">
        <f>'Instrucciones de uso'!K55</f>
        <v>65.666600000000003</v>
      </c>
    </row>
    <row r="26" spans="1:33">
      <c r="A26" s="4" t="s">
        <v>28</v>
      </c>
      <c r="B26" s="32">
        <f>'Instrucciones de uso'!$E$12*B28</f>
        <v>2783.8376990519955</v>
      </c>
      <c r="C26" s="33">
        <f>INT((J25-B25)*4)</f>
        <v>6</v>
      </c>
      <c r="D26" s="4" t="s">
        <v>0</v>
      </c>
      <c r="E26" s="4" t="s">
        <v>1</v>
      </c>
      <c r="F26" s="4" t="s">
        <v>2</v>
      </c>
      <c r="G26" s="4" t="s">
        <v>3</v>
      </c>
      <c r="H26" s="4" t="s">
        <v>4</v>
      </c>
      <c r="I26" s="4" t="s">
        <v>5</v>
      </c>
      <c r="J26" s="4" t="s">
        <v>6</v>
      </c>
      <c r="K26" s="4" t="s">
        <v>7</v>
      </c>
      <c r="L26" s="4" t="s">
        <v>8</v>
      </c>
      <c r="M26" s="4" t="s">
        <v>9</v>
      </c>
      <c r="N26" s="4" t="s">
        <v>10</v>
      </c>
      <c r="O26" s="4" t="s">
        <v>11</v>
      </c>
      <c r="P26" s="4" t="s">
        <v>12</v>
      </c>
      <c r="Q26" s="4" t="s">
        <v>13</v>
      </c>
      <c r="R26" s="4" t="s">
        <v>14</v>
      </c>
      <c r="S26" s="4" t="s">
        <v>15</v>
      </c>
      <c r="T26" s="4" t="s">
        <v>16</v>
      </c>
      <c r="U26" s="4" t="s">
        <v>17</v>
      </c>
      <c r="V26" s="4" t="s">
        <v>18</v>
      </c>
      <c r="W26" s="4" t="s">
        <v>19</v>
      </c>
      <c r="X26" s="4" t="s">
        <v>20</v>
      </c>
      <c r="Y26" s="4" t="s">
        <v>21</v>
      </c>
      <c r="Z26" s="4" t="s">
        <v>22</v>
      </c>
      <c r="AA26" s="4" t="s">
        <v>23</v>
      </c>
      <c r="AB26" s="4" t="s">
        <v>24</v>
      </c>
      <c r="AC26" s="4" t="s">
        <v>25</v>
      </c>
      <c r="AD26" s="4" t="s">
        <v>26</v>
      </c>
      <c r="AE26" s="4" t="s">
        <v>27</v>
      </c>
      <c r="AF26" s="4" t="s">
        <v>32</v>
      </c>
      <c r="AG26" s="4" t="s">
        <v>33</v>
      </c>
    </row>
    <row r="27" spans="1:33">
      <c r="A27" s="4" t="s">
        <v>34</v>
      </c>
      <c r="B27" s="34">
        <f>IF('Instrucciones de uso'!A55&gt;'Instrucciones de uso'!L55,'Instrucciones de uso'!L55,'Instrucciones de uso'!A55)</f>
        <v>2019</v>
      </c>
      <c r="C27" s="35">
        <f>VLOOKUP(B27,'Instrucciones de uso'!$B$52:$E$61,4)</f>
        <v>2586.5845856249994</v>
      </c>
      <c r="D27" s="12">
        <f>IF($B25-$B$4&gt;=1,12*$I28,($B25-$B$4)*12*$I28)</f>
        <v>4950</v>
      </c>
      <c r="E27" s="12">
        <f>IF($B25-$B$4&gt;=2,12*$I28*1.0025,IF(AND($B25-$B$4&gt;1,$B25-$B$4&lt;2),($B25-$B$4-1)*12*$I28*1.0025,0))</f>
        <v>0</v>
      </c>
      <c r="F27" s="12">
        <f>IF($B25-$B$4&gt;=3,12*$I28*1.0025*1.0025,IF(AND($B25-$B$4&gt;2,$B25-$B$4&lt;3),($B25-$B$4-2)*12*$I28*1.0025*1.0025,0))</f>
        <v>0</v>
      </c>
      <c r="G27" s="12">
        <f>IF($B25-$B$4&gt;=4,12*$I28*1.0025*1.0025*1.0025,IF(AND($B25-$B$4&gt;3,$B25-$B$4&lt;4),($B25-$B$4-3)*12*$I28*1.0025*1.0025*1.0025,0))</f>
        <v>0</v>
      </c>
      <c r="H27" s="14" t="s">
        <v>122</v>
      </c>
      <c r="I27" s="7"/>
    </row>
    <row r="28" spans="1:33">
      <c r="A28" s="4" t="s">
        <v>107</v>
      </c>
      <c r="B28" s="30">
        <f>VLOOKUP(B27,'Instrucciones de uso'!$B$52:$F$61,5)</f>
        <v>0.99422774966142702</v>
      </c>
      <c r="C28" s="6">
        <f>C27*(100-(0.5*C26))/100</f>
        <v>2508.9870480562495</v>
      </c>
      <c r="D28" s="4" t="s">
        <v>123</v>
      </c>
      <c r="H28" s="8" t="s">
        <v>58</v>
      </c>
      <c r="I28" s="15">
        <f>'Instrucciones de uso'!$H$12</f>
        <v>550</v>
      </c>
    </row>
    <row r="29" spans="1:33">
      <c r="A29" s="8" t="s">
        <v>29</v>
      </c>
      <c r="B29" s="9">
        <f>IF(F25=1,(100-(C26*2))/100,IF(F25=2,(100-(C26*1.875))/100,IF(F25=3,(100-(C26*1.75))/100,(100-(C26*1.625))/100)))</f>
        <v>0.88</v>
      </c>
      <c r="C29" s="10">
        <f>MIN(B26*B28*B29,C28)</f>
        <v>2435.6364480369771</v>
      </c>
      <c r="D29" s="6">
        <f>IF(B25-$B$4&gt;=1,0,C29*14*(1-(B25-$B$4)))</f>
        <v>8524.7275681294195</v>
      </c>
      <c r="E29" s="6">
        <f>IF(D29&gt;0,C29*14*1.0025,IF(B25-$B$4&gt;=2,0,C29*14*1.0025*(1-(B25-$B$4-1))))</f>
        <v>34184.157548198971</v>
      </c>
      <c r="F29" s="6">
        <f>IF(E29&gt;0,C29*14*1.0025*1.0025,IF(B25-$B$4&gt;=3,0,C29*14*1.0025*1.0025*(1-(B25-$B$4-2))))</f>
        <v>34269.617942069468</v>
      </c>
      <c r="G29" s="6">
        <f>IF(F29&gt;0,C29*14*1.0025*1.0025*1.0025,IF(B25-$B$4&gt;=4,0,C29*14*1.0025*1.0025*1.0025*(1-(B25-$B$4-3))))</f>
        <v>34355.29198692464</v>
      </c>
      <c r="H29" s="6">
        <f>IF(G29&gt;0,C29*14*1.0025*1.0025*1.0025*1.0025,IF(B25-$B$4&gt;=5,0,C29*14*1.0025*1.0025*1.0025*1.0025*(1-(B25-$B$4-4))))</f>
        <v>34441.180216891953</v>
      </c>
      <c r="I29" s="6">
        <f t="shared" ref="I29:AG29" si="10">H29*1.0025</f>
        <v>34527.28316743418</v>
      </c>
      <c r="J29" s="6">
        <f t="shared" si="10"/>
        <v>34613.601375352766</v>
      </c>
      <c r="K29" s="6">
        <f t="shared" si="10"/>
        <v>34700.135378791143</v>
      </c>
      <c r="L29" s="6">
        <f t="shared" si="10"/>
        <v>34786.885717238118</v>
      </c>
      <c r="M29" s="6">
        <f t="shared" si="10"/>
        <v>34873.852931531212</v>
      </c>
      <c r="N29" s="6">
        <f t="shared" si="10"/>
        <v>34961.037563860038</v>
      </c>
      <c r="O29" s="6">
        <f t="shared" si="10"/>
        <v>35048.440157769684</v>
      </c>
      <c r="P29" s="6">
        <f t="shared" si="10"/>
        <v>35136.061258164103</v>
      </c>
      <c r="Q29" s="6">
        <f t="shared" si="10"/>
        <v>35223.901411309511</v>
      </c>
      <c r="R29" s="6">
        <f t="shared" si="10"/>
        <v>35311.961164837783</v>
      </c>
      <c r="S29" s="6">
        <f t="shared" si="10"/>
        <v>35400.241067749877</v>
      </c>
      <c r="T29" s="6">
        <f t="shared" si="10"/>
        <v>35488.741670419251</v>
      </c>
      <c r="U29" s="6">
        <f t="shared" si="10"/>
        <v>35577.463524595296</v>
      </c>
      <c r="V29" s="6">
        <f t="shared" si="10"/>
        <v>35666.40718340678</v>
      </c>
      <c r="W29" s="6">
        <f t="shared" si="10"/>
        <v>35755.573201365296</v>
      </c>
      <c r="X29" s="6">
        <f t="shared" si="10"/>
        <v>35844.96213436871</v>
      </c>
      <c r="Y29" s="6">
        <f t="shared" si="10"/>
        <v>35934.574539704627</v>
      </c>
      <c r="Z29" s="6">
        <f t="shared" si="10"/>
        <v>36024.410976053885</v>
      </c>
      <c r="AA29" s="6">
        <f t="shared" si="10"/>
        <v>36114.472003494018</v>
      </c>
      <c r="AB29" s="6">
        <f t="shared" si="10"/>
        <v>36204.758183502752</v>
      </c>
      <c r="AC29" s="6">
        <f t="shared" si="10"/>
        <v>36295.270078961505</v>
      </c>
      <c r="AD29" s="6">
        <f t="shared" si="10"/>
        <v>36386.008254158907</v>
      </c>
      <c r="AE29" s="6">
        <f t="shared" si="10"/>
        <v>36476.973274794305</v>
      </c>
      <c r="AF29" s="6">
        <f t="shared" si="10"/>
        <v>36568.165707981287</v>
      </c>
      <c r="AG29" s="6">
        <f t="shared" si="10"/>
        <v>36659.586122251239</v>
      </c>
    </row>
    <row r="30" spans="1:33">
      <c r="A30" s="4" t="s">
        <v>52</v>
      </c>
      <c r="B30" s="6">
        <f>C28-C29</f>
        <v>73.350600019272406</v>
      </c>
      <c r="C30" s="4" t="s">
        <v>57</v>
      </c>
      <c r="D30" s="6">
        <f>D29-D27</f>
        <v>3574.7275681294195</v>
      </c>
      <c r="E30" s="6">
        <f>D30+E29-E27</f>
        <v>37758.885116328391</v>
      </c>
      <c r="F30" s="6">
        <f t="shared" ref="F30:G30" si="11">E30+F29-F27</f>
        <v>72028.503058397851</v>
      </c>
      <c r="G30" s="6">
        <f t="shared" si="11"/>
        <v>106383.79504532249</v>
      </c>
      <c r="H30" s="6">
        <f t="shared" ref="H30:AG30" si="12">G30+H29</f>
        <v>140824.97526221443</v>
      </c>
      <c r="I30" s="6">
        <f t="shared" si="12"/>
        <v>175352.25842964862</v>
      </c>
      <c r="J30" s="6">
        <f t="shared" si="12"/>
        <v>209965.85980500138</v>
      </c>
      <c r="K30" s="6">
        <f t="shared" si="12"/>
        <v>244665.99518379252</v>
      </c>
      <c r="L30" s="6">
        <f t="shared" si="12"/>
        <v>279452.88090103061</v>
      </c>
      <c r="M30" s="6">
        <f t="shared" si="12"/>
        <v>314326.73383256182</v>
      </c>
      <c r="N30" s="6">
        <f t="shared" si="12"/>
        <v>349287.77139642183</v>
      </c>
      <c r="O30" s="6">
        <f t="shared" si="12"/>
        <v>384336.21155419154</v>
      </c>
      <c r="P30" s="6">
        <f t="shared" si="12"/>
        <v>419472.27281235566</v>
      </c>
      <c r="Q30" s="6">
        <f t="shared" si="12"/>
        <v>454696.17422366515</v>
      </c>
      <c r="R30" s="6">
        <f t="shared" si="12"/>
        <v>490008.13538850291</v>
      </c>
      <c r="S30" s="6">
        <f t="shared" si="12"/>
        <v>525408.37645625276</v>
      </c>
      <c r="T30" s="6">
        <f t="shared" si="12"/>
        <v>560897.11812667199</v>
      </c>
      <c r="U30" s="6">
        <f t="shared" si="12"/>
        <v>596474.58165126725</v>
      </c>
      <c r="V30" s="6">
        <f t="shared" si="12"/>
        <v>632140.988834674</v>
      </c>
      <c r="W30" s="6">
        <f t="shared" si="12"/>
        <v>667896.56203603931</v>
      </c>
      <c r="X30" s="6">
        <f t="shared" si="12"/>
        <v>703741.52417040803</v>
      </c>
      <c r="Y30" s="6">
        <f t="shared" si="12"/>
        <v>739676.09871011262</v>
      </c>
      <c r="Z30" s="6">
        <f t="shared" si="12"/>
        <v>775700.50968616654</v>
      </c>
      <c r="AA30" s="6">
        <f t="shared" si="12"/>
        <v>811814.98168966058</v>
      </c>
      <c r="AB30" s="6">
        <f t="shared" si="12"/>
        <v>848019.73987316329</v>
      </c>
      <c r="AC30" s="6">
        <f t="shared" si="12"/>
        <v>884315.00995212479</v>
      </c>
      <c r="AD30" s="6">
        <f t="shared" si="12"/>
        <v>920701.01820628368</v>
      </c>
      <c r="AE30" s="6">
        <f t="shared" si="12"/>
        <v>957177.99148107797</v>
      </c>
      <c r="AF30" s="6">
        <f t="shared" si="12"/>
        <v>993746.1571890593</v>
      </c>
      <c r="AG30" s="6">
        <f t="shared" si="12"/>
        <v>1030405.7433113105</v>
      </c>
    </row>
    <row r="31" spans="1:33">
      <c r="C31" s="3"/>
      <c r="D31" s="3"/>
      <c r="E31" s="3"/>
      <c r="F31" s="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8" customHeight="1">
      <c r="A32" s="4" t="s">
        <v>31</v>
      </c>
      <c r="B32" s="5">
        <f>IF($B$4+(0.25*4)&gt;J32,J32,($B$4+(0.25*4)))</f>
        <v>64.25</v>
      </c>
      <c r="C32" s="4" t="s">
        <v>30</v>
      </c>
      <c r="D32" s="8" t="s">
        <v>124</v>
      </c>
      <c r="E32" s="13">
        <f>'Instrucciones de uso'!P56</f>
        <v>34.799999999999997</v>
      </c>
      <c r="F32" s="31">
        <f>'Instrucciones de uso'!Q56</f>
        <v>1</v>
      </c>
      <c r="G32" s="4" t="s">
        <v>126</v>
      </c>
      <c r="H32" s="8" t="s">
        <v>125</v>
      </c>
      <c r="I32" s="11"/>
      <c r="J32" s="13">
        <f>'Instrucciones de uso'!K56</f>
        <v>65.666600000000003</v>
      </c>
    </row>
    <row r="33" spans="1:33">
      <c r="A33" s="4" t="s">
        <v>28</v>
      </c>
      <c r="B33" s="32">
        <f>'Instrucciones de uso'!$E$12*B35</f>
        <v>2783.8376990519955</v>
      </c>
      <c r="C33" s="33">
        <f>INT((J32-B32)*4)</f>
        <v>5</v>
      </c>
      <c r="D33" s="4" t="s">
        <v>0</v>
      </c>
      <c r="E33" s="4" t="s">
        <v>1</v>
      </c>
      <c r="F33" s="4" t="s">
        <v>2</v>
      </c>
      <c r="G33" s="4" t="s">
        <v>3</v>
      </c>
      <c r="H33" s="4" t="s">
        <v>4</v>
      </c>
      <c r="I33" s="4" t="s">
        <v>5</v>
      </c>
      <c r="J33" s="4" t="s">
        <v>6</v>
      </c>
      <c r="K33" s="4" t="s">
        <v>7</v>
      </c>
      <c r="L33" s="4" t="s">
        <v>8</v>
      </c>
      <c r="M33" s="4" t="s">
        <v>9</v>
      </c>
      <c r="N33" s="4" t="s">
        <v>10</v>
      </c>
      <c r="O33" s="4" t="s">
        <v>11</v>
      </c>
      <c r="P33" s="4" t="s">
        <v>12</v>
      </c>
      <c r="Q33" s="4" t="s">
        <v>13</v>
      </c>
      <c r="R33" s="4" t="s">
        <v>14</v>
      </c>
      <c r="S33" s="4" t="s">
        <v>15</v>
      </c>
      <c r="T33" s="4" t="s">
        <v>16</v>
      </c>
      <c r="U33" s="4" t="s">
        <v>17</v>
      </c>
      <c r="V33" s="4" t="s">
        <v>18</v>
      </c>
      <c r="W33" s="4" t="s">
        <v>19</v>
      </c>
      <c r="X33" s="4" t="s">
        <v>20</v>
      </c>
      <c r="Y33" s="4" t="s">
        <v>21</v>
      </c>
      <c r="Z33" s="4" t="s">
        <v>22</v>
      </c>
      <c r="AA33" s="4" t="s">
        <v>23</v>
      </c>
      <c r="AB33" s="4" t="s">
        <v>24</v>
      </c>
      <c r="AC33" s="4" t="s">
        <v>25</v>
      </c>
      <c r="AD33" s="4" t="s">
        <v>26</v>
      </c>
      <c r="AE33" s="4" t="s">
        <v>27</v>
      </c>
      <c r="AF33" s="4" t="s">
        <v>32</v>
      </c>
      <c r="AG33" s="4" t="s">
        <v>33</v>
      </c>
    </row>
    <row r="34" spans="1:33">
      <c r="A34" s="4" t="s">
        <v>34</v>
      </c>
      <c r="B34" s="34">
        <f>IF('Instrucciones de uso'!A56&gt;'Instrucciones de uso'!L56,'Instrucciones de uso'!L56,'Instrucciones de uso'!A56)</f>
        <v>2019</v>
      </c>
      <c r="C34" s="35">
        <f>VLOOKUP(B34,'Instrucciones de uso'!$B$52:$E$61,4)</f>
        <v>2586.5845856249994</v>
      </c>
      <c r="D34" s="12">
        <f>IF($B32-$B$4&gt;=1,12*$I35,($B32-$B$4)*12*$I35)</f>
        <v>6600</v>
      </c>
      <c r="E34" s="12">
        <f>IF($B32-$B$4&gt;=2,12*$I35*1.0025,IF(AND($B32-$B$4&gt;1,$B32-$B$4&lt;2),($B32-$B$4-1)*12*$I35*1.0025,0))</f>
        <v>0</v>
      </c>
      <c r="F34" s="12">
        <f>IF($B32-$B$4&gt;=3,12*$I35*1.0025*1.0025,IF(AND($B32-$B$4&gt;2,$B32-$B$4&lt;3),($B32-$B$4-2)*12*$I35*1.0025*1.0025,0))</f>
        <v>0</v>
      </c>
      <c r="G34" s="12">
        <f>IF($B32-$B$4&gt;=4,12*$I35*1.0025*1.0025*1.0025,IF(AND($B32-$B$4&gt;3,$B32-$B$4&lt;4),($B32-$B$4-3)*12*$I35*1.0025*1.0025*1.0025,0))</f>
        <v>0</v>
      </c>
      <c r="H34" s="14" t="s">
        <v>122</v>
      </c>
      <c r="I34" s="7"/>
    </row>
    <row r="35" spans="1:33">
      <c r="A35" s="4" t="s">
        <v>107</v>
      </c>
      <c r="B35" s="30">
        <f>VLOOKUP(B34,'Instrucciones de uso'!$B$52:$F$61,5)</f>
        <v>0.99422774966142702</v>
      </c>
      <c r="C35" s="6">
        <f>C34*(100-(0.5*C33))/100</f>
        <v>2521.9199709843747</v>
      </c>
      <c r="D35" s="4" t="s">
        <v>123</v>
      </c>
      <c r="H35" s="8" t="s">
        <v>58</v>
      </c>
      <c r="I35" s="15">
        <f>'Instrucciones de uso'!$H$12</f>
        <v>550</v>
      </c>
    </row>
    <row r="36" spans="1:33">
      <c r="A36" s="8" t="s">
        <v>29</v>
      </c>
      <c r="B36" s="9">
        <f>IF(F32=1,(100-(C33*2))/100,IF(F32=2,(100-(C33*1.875))/100,IF(F32=3,(100-(C33*1.75))/100,(100-(C33*1.625))/100)))</f>
        <v>0.9</v>
      </c>
      <c r="C36" s="10">
        <f>MIN(B33*B35*B36,C35)</f>
        <v>2490.9918218559992</v>
      </c>
      <c r="D36" s="6">
        <f>IF(B32-$B$4&gt;=1,0,C36*14*(1-(B32-$B$4)))</f>
        <v>0</v>
      </c>
      <c r="E36" s="6">
        <f>IF(D36&gt;0,C36*14*1.0025,IF(B32-$B$4&gt;=2,0,C36*14*1.0025*(1-(B32-$B$4-1))))</f>
        <v>34961.070219748952</v>
      </c>
      <c r="F36" s="6">
        <f>IF(E36&gt;0,C36*14*1.0025*1.0025,IF(B32-$B$4&gt;=3,0,C36*14*1.0025*1.0025*(1-(B32-$B$4-2))))</f>
        <v>35048.472895298321</v>
      </c>
      <c r="G36" s="6">
        <f>IF(F36&gt;0,C36*14*1.0025*1.0025*1.0025,IF(B32-$B$4&gt;=4,0,C36*14*1.0025*1.0025*1.0025*(1-(B32-$B$4-3))))</f>
        <v>35136.094077536567</v>
      </c>
      <c r="H36" s="6">
        <f>IF(G36&gt;0,C36*14*1.0025*1.0025*1.0025*1.0025,IF(B32-$B$4&gt;=5,0,C36*14*1.0025*1.0025*1.0025*1.0025*(1-(B32-$B$4-4))))</f>
        <v>35223.934312730409</v>
      </c>
      <c r="I36" s="6">
        <f t="shared" ref="I36:N36" si="13">H36*1.0025</f>
        <v>35311.994148512233</v>
      </c>
      <c r="J36" s="6">
        <f t="shared" si="13"/>
        <v>35400.274133883511</v>
      </c>
      <c r="K36" s="6">
        <f t="shared" si="13"/>
        <v>35488.774819218219</v>
      </c>
      <c r="L36" s="6">
        <f t="shared" si="13"/>
        <v>35577.496756266264</v>
      </c>
      <c r="M36" s="6">
        <f t="shared" si="13"/>
        <v>35666.440498156931</v>
      </c>
      <c r="N36" s="6">
        <f t="shared" si="13"/>
        <v>35755.606599402323</v>
      </c>
      <c r="O36" s="6">
        <f>N36*1.0025</f>
        <v>35844.995615900829</v>
      </c>
      <c r="P36" s="6">
        <f>O36*1.0025</f>
        <v>35934.608104940577</v>
      </c>
      <c r="Q36" s="6">
        <f t="shared" ref="Q36:AG36" si="14">P36*1.0025</f>
        <v>36024.444625202923</v>
      </c>
      <c r="R36" s="6">
        <f t="shared" si="14"/>
        <v>36114.505736765925</v>
      </c>
      <c r="S36" s="6">
        <f t="shared" si="14"/>
        <v>36204.792001107839</v>
      </c>
      <c r="T36" s="6">
        <f t="shared" si="14"/>
        <v>36295.303981110606</v>
      </c>
      <c r="U36" s="6">
        <f t="shared" si="14"/>
        <v>36386.042241063384</v>
      </c>
      <c r="V36" s="6">
        <f t="shared" si="14"/>
        <v>36477.00734666604</v>
      </c>
      <c r="W36" s="6">
        <f t="shared" si="14"/>
        <v>36568.1998650327</v>
      </c>
      <c r="X36" s="6">
        <f t="shared" si="14"/>
        <v>36659.620364695278</v>
      </c>
      <c r="Y36" s="6">
        <f t="shared" si="14"/>
        <v>36751.269415607014</v>
      </c>
      <c r="Z36" s="6">
        <f t="shared" si="14"/>
        <v>36843.147589146029</v>
      </c>
      <c r="AA36" s="6">
        <f t="shared" si="14"/>
        <v>36935.255458118889</v>
      </c>
      <c r="AB36" s="6">
        <f t="shared" si="14"/>
        <v>37027.593596764185</v>
      </c>
      <c r="AC36" s="6">
        <f t="shared" si="14"/>
        <v>37120.162580756092</v>
      </c>
      <c r="AD36" s="6">
        <f t="shared" si="14"/>
        <v>37212.962987207982</v>
      </c>
      <c r="AE36" s="6">
        <f t="shared" si="14"/>
        <v>37305.995394676</v>
      </c>
      <c r="AF36" s="6">
        <f t="shared" si="14"/>
        <v>37399.260383162691</v>
      </c>
      <c r="AG36" s="6">
        <f t="shared" si="14"/>
        <v>37492.7585341206</v>
      </c>
    </row>
    <row r="37" spans="1:33">
      <c r="A37" s="4" t="s">
        <v>52</v>
      </c>
      <c r="B37" s="6">
        <f>C35-C36</f>
        <v>30.92814912837548</v>
      </c>
      <c r="C37" s="4" t="s">
        <v>57</v>
      </c>
      <c r="D37" s="6">
        <f>D36-D34</f>
        <v>-6600</v>
      </c>
      <c r="E37" s="6">
        <f>D37+E36-E34</f>
        <v>28361.070219748952</v>
      </c>
      <c r="F37" s="6">
        <f t="shared" ref="F37:G37" si="15">E37+F36-F34</f>
        <v>63409.543115047272</v>
      </c>
      <c r="G37" s="6">
        <f t="shared" si="15"/>
        <v>98545.637192583847</v>
      </c>
      <c r="H37" s="6">
        <f t="shared" ref="H37:AG37" si="16">G37+H36</f>
        <v>133769.57150531426</v>
      </c>
      <c r="I37" s="6">
        <f t="shared" si="16"/>
        <v>169081.56565382649</v>
      </c>
      <c r="J37" s="6">
        <f t="shared" si="16"/>
        <v>204481.83978770999</v>
      </c>
      <c r="K37" s="6">
        <f t="shared" si="16"/>
        <v>239970.6146069282</v>
      </c>
      <c r="L37" s="6">
        <f t="shared" si="16"/>
        <v>275548.11136319448</v>
      </c>
      <c r="M37" s="6">
        <f t="shared" si="16"/>
        <v>311214.55186135141</v>
      </c>
      <c r="N37" s="6">
        <f t="shared" si="16"/>
        <v>346970.15846075374</v>
      </c>
      <c r="O37" s="6">
        <f t="shared" si="16"/>
        <v>382815.15407665458</v>
      </c>
      <c r="P37" s="6">
        <f t="shared" si="16"/>
        <v>418749.76218159514</v>
      </c>
      <c r="Q37" s="6">
        <f t="shared" si="16"/>
        <v>454774.20680679806</v>
      </c>
      <c r="R37" s="6">
        <f t="shared" si="16"/>
        <v>490888.71254356398</v>
      </c>
      <c r="S37" s="6">
        <f t="shared" si="16"/>
        <v>527093.50454467186</v>
      </c>
      <c r="T37" s="6">
        <f t="shared" si="16"/>
        <v>563388.80852578243</v>
      </c>
      <c r="U37" s="6">
        <f t="shared" si="16"/>
        <v>599774.85076684586</v>
      </c>
      <c r="V37" s="6">
        <f t="shared" si="16"/>
        <v>636251.85811351193</v>
      </c>
      <c r="W37" s="6">
        <f t="shared" si="16"/>
        <v>672820.05797854462</v>
      </c>
      <c r="X37" s="6">
        <f t="shared" si="16"/>
        <v>709479.67834323994</v>
      </c>
      <c r="Y37" s="6">
        <f t="shared" si="16"/>
        <v>746230.94775884692</v>
      </c>
      <c r="Z37" s="6">
        <f t="shared" si="16"/>
        <v>783074.09534799296</v>
      </c>
      <c r="AA37" s="6">
        <f t="shared" si="16"/>
        <v>820009.35080611182</v>
      </c>
      <c r="AB37" s="6">
        <f t="shared" si="16"/>
        <v>857036.94440287596</v>
      </c>
      <c r="AC37" s="6">
        <f t="shared" si="16"/>
        <v>894157.10698363208</v>
      </c>
      <c r="AD37" s="6">
        <f t="shared" si="16"/>
        <v>931370.06997084012</v>
      </c>
      <c r="AE37" s="6">
        <f t="shared" si="16"/>
        <v>968676.06536551611</v>
      </c>
      <c r="AF37" s="6">
        <f t="shared" si="16"/>
        <v>1006075.3257486788</v>
      </c>
      <c r="AG37" s="6">
        <f t="shared" si="16"/>
        <v>1043568.0842827994</v>
      </c>
    </row>
    <row r="38" spans="1:33">
      <c r="F38" s="1"/>
    </row>
    <row r="39" spans="1:33" ht="18" customHeight="1">
      <c r="A39" s="4" t="s">
        <v>31</v>
      </c>
      <c r="B39" s="5">
        <f>IF($B$4+(0.25*5)&gt;J39,J39,($B$4+(0.25*5)))</f>
        <v>64.5</v>
      </c>
      <c r="C39" s="4" t="s">
        <v>30</v>
      </c>
      <c r="D39" s="8" t="s">
        <v>124</v>
      </c>
      <c r="E39" s="13">
        <f>'Instrucciones de uso'!P57</f>
        <v>35.049999999999997</v>
      </c>
      <c r="F39" s="31">
        <f>'Instrucciones de uso'!Q57</f>
        <v>1</v>
      </c>
      <c r="G39" s="4" t="s">
        <v>126</v>
      </c>
      <c r="H39" s="8" t="s">
        <v>125</v>
      </c>
      <c r="I39" s="11"/>
      <c r="J39" s="13">
        <f>'Instrucciones de uso'!K57</f>
        <v>65.666600000000003</v>
      </c>
    </row>
    <row r="40" spans="1:33">
      <c r="A40" s="4" t="s">
        <v>28</v>
      </c>
      <c r="B40" s="32">
        <f>'Instrucciones de uso'!$E$12*B42</f>
        <v>2783.8376990519955</v>
      </c>
      <c r="C40" s="33">
        <f>INT((J39-B39)*4)</f>
        <v>4</v>
      </c>
      <c r="D40" s="4" t="s">
        <v>0</v>
      </c>
      <c r="E40" s="4" t="s">
        <v>1</v>
      </c>
      <c r="F40" s="4" t="s">
        <v>2</v>
      </c>
      <c r="G40" s="4" t="s">
        <v>3</v>
      </c>
      <c r="H40" s="4" t="s">
        <v>4</v>
      </c>
      <c r="I40" s="4" t="s">
        <v>5</v>
      </c>
      <c r="J40" s="4" t="s">
        <v>6</v>
      </c>
      <c r="K40" s="4" t="s">
        <v>7</v>
      </c>
      <c r="L40" s="4" t="s">
        <v>8</v>
      </c>
      <c r="M40" s="4" t="s">
        <v>9</v>
      </c>
      <c r="N40" s="4" t="s">
        <v>10</v>
      </c>
      <c r="O40" s="4" t="s">
        <v>11</v>
      </c>
      <c r="P40" s="4" t="s">
        <v>12</v>
      </c>
      <c r="Q40" s="4" t="s">
        <v>13</v>
      </c>
      <c r="R40" s="4" t="s">
        <v>14</v>
      </c>
      <c r="S40" s="4" t="s">
        <v>15</v>
      </c>
      <c r="T40" s="4" t="s">
        <v>16</v>
      </c>
      <c r="U40" s="4" t="s">
        <v>17</v>
      </c>
      <c r="V40" s="4" t="s">
        <v>18</v>
      </c>
      <c r="W40" s="4" t="s">
        <v>19</v>
      </c>
      <c r="X40" s="4" t="s">
        <v>20</v>
      </c>
      <c r="Y40" s="4" t="s">
        <v>21</v>
      </c>
      <c r="Z40" s="4" t="s">
        <v>22</v>
      </c>
      <c r="AA40" s="4" t="s">
        <v>23</v>
      </c>
      <c r="AB40" s="4" t="s">
        <v>24</v>
      </c>
      <c r="AC40" s="4" t="s">
        <v>25</v>
      </c>
      <c r="AD40" s="4" t="s">
        <v>26</v>
      </c>
      <c r="AE40" s="4" t="s">
        <v>27</v>
      </c>
      <c r="AF40" s="4" t="s">
        <v>32</v>
      </c>
      <c r="AG40" s="4" t="s">
        <v>33</v>
      </c>
    </row>
    <row r="41" spans="1:33">
      <c r="A41" s="4" t="s">
        <v>34</v>
      </c>
      <c r="B41" s="34">
        <f>IF('Instrucciones de uso'!A57&gt;'Instrucciones de uso'!L57,'Instrucciones de uso'!L57,'Instrucciones de uso'!A57)</f>
        <v>2019</v>
      </c>
      <c r="C41" s="35">
        <f>VLOOKUP(B41,'Instrucciones de uso'!$B$52:$E$61,4)</f>
        <v>2586.5845856249994</v>
      </c>
      <c r="D41" s="12">
        <f>IF($B39-$B$4&gt;=1,12*$I42,($B39-$B$4)*12*$I42)</f>
        <v>6600</v>
      </c>
      <c r="E41" s="12">
        <f>IF($B39-$B$4&gt;=2,12*$I42*1.0025,IF(AND($B39-$B$4&gt;1,$B39-$B$4&lt;2),($B39-$B$4-1)*12*$I42*1.0025,0))</f>
        <v>1654.125</v>
      </c>
      <c r="F41" s="12">
        <f>IF($B39-$B$4&gt;=3,12*$I42*1.0025*1.0025,IF(AND($B39-$B$4&gt;2,$B39-$B$4&lt;3),($B39-$B$4-2)*12*$I42*1.0025*1.0025,0))</f>
        <v>0</v>
      </c>
      <c r="G41" s="12">
        <f>IF($B39-$B$4&gt;=4,12*$I42*1.0025*1.0025*1.0025,IF(AND($B39-$B$4&gt;3,$B39-$B$4&lt;4),($B39-$B$4-3)*12*$I42*1.0025*1.0025*1.0025,0))</f>
        <v>0</v>
      </c>
      <c r="H41" s="14" t="s">
        <v>122</v>
      </c>
      <c r="I41" s="7"/>
    </row>
    <row r="42" spans="1:33">
      <c r="A42" s="4" t="s">
        <v>107</v>
      </c>
      <c r="B42" s="30">
        <f>VLOOKUP(B41,'Instrucciones de uso'!$B$52:$F$61,5)</f>
        <v>0.99422774966142702</v>
      </c>
      <c r="C42" s="6">
        <f>C41*(100-(0.5*C40))/100</f>
        <v>2534.8528939124994</v>
      </c>
      <c r="D42" s="4" t="s">
        <v>123</v>
      </c>
      <c r="H42" s="8" t="s">
        <v>58</v>
      </c>
      <c r="I42" s="15">
        <f>'Instrucciones de uso'!$H$12</f>
        <v>550</v>
      </c>
    </row>
    <row r="43" spans="1:33">
      <c r="A43" s="8" t="s">
        <v>29</v>
      </c>
      <c r="B43" s="9">
        <f>IF(F39=1,(100-(C40*2))/100,IF(F39=2,(100-(C40*1.875))/100,IF(F39=3,(100-(C40*1.75))/100,(100-(C40*1.625))/100)))</f>
        <v>0.92</v>
      </c>
      <c r="C43" s="10">
        <f>MIN(B40*B42*B43,C42)</f>
        <v>2534.8528939124994</v>
      </c>
      <c r="D43" s="6">
        <f>IF(B39-$B$4&gt;=1,0,C43*14*(1-(B39-$B$4)))</f>
        <v>0</v>
      </c>
      <c r="E43" s="6">
        <f>IF(D43&gt;0,C43*14*1.0025,IF(B39-$B$4&gt;=2,0,C43*14*1.0025*(1-(B39-$B$4-1))))</f>
        <v>26682.495274546447</v>
      </c>
      <c r="F43" s="6">
        <f>IF(E43&gt;0,C43*14*1.0025*1.0025,IF(B39-$B$4&gt;=3,0,C43*14*1.0025*1.0025*(1-(B39-$B$4-2))))</f>
        <v>35665.602016977085</v>
      </c>
      <c r="G43" s="6">
        <f>IF(F43&gt;0,C43*14*1.0025*1.0025*1.0025,IF(B39-$B$4&gt;=4,0,C43*14*1.0025*1.0025*1.0025*(1-(B39-$B$4-3))))</f>
        <v>35754.766022019525</v>
      </c>
      <c r="H43" s="6">
        <f>IF(G43&gt;0,C43*14*1.0025*1.0025*1.0025*1.0025,IF(B39-$B$4&gt;=5,0,C43*14*1.0025*1.0025*1.0025*1.0025*(1-(B39-$B$4-4))))</f>
        <v>35844.15293707457</v>
      </c>
      <c r="I43" s="6">
        <f t="shared" ref="I43:AG43" si="17">H43*1.0025</f>
        <v>35933.763319417252</v>
      </c>
      <c r="J43" s="6">
        <f t="shared" si="17"/>
        <v>36023.597727715794</v>
      </c>
      <c r="K43" s="6">
        <f t="shared" si="17"/>
        <v>36113.656722035084</v>
      </c>
      <c r="L43" s="6">
        <f t="shared" si="17"/>
        <v>36203.940863840173</v>
      </c>
      <c r="M43" s="6">
        <f t="shared" si="17"/>
        <v>36294.450715999774</v>
      </c>
      <c r="N43" s="6">
        <f t="shared" si="17"/>
        <v>36385.186842789772</v>
      </c>
      <c r="O43" s="6">
        <f t="shared" si="17"/>
        <v>36476.149809896742</v>
      </c>
      <c r="P43" s="6">
        <f t="shared" si="17"/>
        <v>36567.340184421482</v>
      </c>
      <c r="Q43" s="6">
        <f t="shared" si="17"/>
        <v>36658.758534882531</v>
      </c>
      <c r="R43" s="6">
        <f t="shared" si="17"/>
        <v>36750.405431219733</v>
      </c>
      <c r="S43" s="6">
        <f t="shared" si="17"/>
        <v>36842.28144479778</v>
      </c>
      <c r="T43" s="6">
        <f t="shared" si="17"/>
        <v>36934.387148409769</v>
      </c>
      <c r="U43" s="6">
        <f t="shared" si="17"/>
        <v>37026.723116280795</v>
      </c>
      <c r="V43" s="6">
        <f t="shared" si="17"/>
        <v>37119.289924071498</v>
      </c>
      <c r="W43" s="6">
        <f t="shared" si="17"/>
        <v>37212.088148881674</v>
      </c>
      <c r="X43" s="6">
        <f t="shared" si="17"/>
        <v>37305.118369253876</v>
      </c>
      <c r="Y43" s="6">
        <f t="shared" si="17"/>
        <v>37398.381165177008</v>
      </c>
      <c r="Z43" s="6">
        <f t="shared" si="17"/>
        <v>37491.877118089949</v>
      </c>
      <c r="AA43" s="6">
        <f t="shared" si="17"/>
        <v>37585.606810885169</v>
      </c>
      <c r="AB43" s="6">
        <f t="shared" si="17"/>
        <v>37679.570827912379</v>
      </c>
      <c r="AC43" s="6">
        <f t="shared" si="17"/>
        <v>37773.769754982161</v>
      </c>
      <c r="AD43" s="6">
        <f t="shared" si="17"/>
        <v>37868.204179369612</v>
      </c>
      <c r="AE43" s="6">
        <f t="shared" si="17"/>
        <v>37962.874689818032</v>
      </c>
      <c r="AF43" s="6">
        <f t="shared" si="17"/>
        <v>38057.781876542576</v>
      </c>
      <c r="AG43" s="6">
        <f t="shared" si="17"/>
        <v>38152.926331233932</v>
      </c>
    </row>
    <row r="44" spans="1:33">
      <c r="A44" s="4" t="s">
        <v>52</v>
      </c>
      <c r="B44" s="6">
        <f>C42-C43</f>
        <v>0</v>
      </c>
      <c r="C44" s="4" t="s">
        <v>57</v>
      </c>
      <c r="D44" s="6">
        <f>D43-D41</f>
        <v>-6600</v>
      </c>
      <c r="E44" s="6">
        <f>D44+E43-E41</f>
        <v>18428.370274546447</v>
      </c>
      <c r="F44" s="6">
        <f t="shared" ref="F44:G44" si="18">E44+F43-F41</f>
        <v>54093.972291523532</v>
      </c>
      <c r="G44" s="6">
        <f t="shared" si="18"/>
        <v>89848.738313543057</v>
      </c>
      <c r="H44" s="6">
        <f t="shared" ref="H44:AG44" si="19">G44+H43</f>
        <v>125692.89125061763</v>
      </c>
      <c r="I44" s="6">
        <f t="shared" si="19"/>
        <v>161626.65457003488</v>
      </c>
      <c r="J44" s="6">
        <f t="shared" si="19"/>
        <v>197650.25229775067</v>
      </c>
      <c r="K44" s="6">
        <f t="shared" si="19"/>
        <v>233763.90901978576</v>
      </c>
      <c r="L44" s="6">
        <f t="shared" si="19"/>
        <v>269967.84988362592</v>
      </c>
      <c r="M44" s="6">
        <f t="shared" si="19"/>
        <v>306262.30059962568</v>
      </c>
      <c r="N44" s="6">
        <f t="shared" si="19"/>
        <v>342647.48744241544</v>
      </c>
      <c r="O44" s="6">
        <f t="shared" si="19"/>
        <v>379123.63725231215</v>
      </c>
      <c r="P44" s="6">
        <f t="shared" si="19"/>
        <v>415690.97743673366</v>
      </c>
      <c r="Q44" s="6">
        <f t="shared" si="19"/>
        <v>452349.73597161617</v>
      </c>
      <c r="R44" s="6">
        <f t="shared" si="19"/>
        <v>489100.1414028359</v>
      </c>
      <c r="S44" s="6">
        <f t="shared" si="19"/>
        <v>525942.42284763372</v>
      </c>
      <c r="T44" s="6">
        <f t="shared" si="19"/>
        <v>562876.80999604345</v>
      </c>
      <c r="U44" s="6">
        <f t="shared" si="19"/>
        <v>599903.53311232419</v>
      </c>
      <c r="V44" s="6">
        <f t="shared" si="19"/>
        <v>637022.82303639571</v>
      </c>
      <c r="W44" s="6">
        <f t="shared" si="19"/>
        <v>674234.91118527739</v>
      </c>
      <c r="X44" s="6">
        <f t="shared" si="19"/>
        <v>711540.02955453121</v>
      </c>
      <c r="Y44" s="6">
        <f t="shared" si="19"/>
        <v>748938.41071970819</v>
      </c>
      <c r="Z44" s="6">
        <f t="shared" si="19"/>
        <v>786430.28783779813</v>
      </c>
      <c r="AA44" s="6">
        <f t="shared" si="19"/>
        <v>824015.89464868326</v>
      </c>
      <c r="AB44" s="6">
        <f t="shared" si="19"/>
        <v>861695.46547659568</v>
      </c>
      <c r="AC44" s="6">
        <f t="shared" si="19"/>
        <v>899469.23523157788</v>
      </c>
      <c r="AD44" s="6">
        <f t="shared" si="19"/>
        <v>937337.4394109475</v>
      </c>
      <c r="AE44" s="6">
        <f t="shared" si="19"/>
        <v>975300.31410076551</v>
      </c>
      <c r="AF44" s="6">
        <f t="shared" si="19"/>
        <v>1013358.0959773081</v>
      </c>
      <c r="AG44" s="6">
        <f t="shared" si="19"/>
        <v>1051511.0223085419</v>
      </c>
    </row>
    <row r="45" spans="1:33">
      <c r="F45" s="1"/>
    </row>
    <row r="46" spans="1:33" ht="18" customHeight="1">
      <c r="A46" s="4" t="s">
        <v>31</v>
      </c>
      <c r="B46" s="5">
        <f>IF($B$4+(0.25*6)&gt;J46,J46,($B$4+(0.25*6)))</f>
        <v>64.75</v>
      </c>
      <c r="C46" s="4" t="s">
        <v>30</v>
      </c>
      <c r="D46" s="8" t="s">
        <v>124</v>
      </c>
      <c r="E46" s="13">
        <f>'Instrucciones de uso'!P58</f>
        <v>35.299999999999997</v>
      </c>
      <c r="F46" s="31">
        <f>'Instrucciones de uso'!Q58</f>
        <v>1</v>
      </c>
      <c r="G46" s="4" t="s">
        <v>126</v>
      </c>
      <c r="H46" s="8" t="s">
        <v>125</v>
      </c>
      <c r="I46" s="11"/>
      <c r="J46" s="13">
        <f>'Instrucciones de uso'!K58</f>
        <v>65.666600000000003</v>
      </c>
    </row>
    <row r="47" spans="1:33">
      <c r="A47" s="4" t="s">
        <v>28</v>
      </c>
      <c r="B47" s="32">
        <f>'Instrucciones de uso'!$E$12*B49</f>
        <v>2783.8376990519955</v>
      </c>
      <c r="C47" s="33">
        <f>INT((J46-B46)*4)</f>
        <v>3</v>
      </c>
      <c r="D47" s="4" t="s">
        <v>0</v>
      </c>
      <c r="E47" s="4" t="s">
        <v>1</v>
      </c>
      <c r="F47" s="4" t="s">
        <v>2</v>
      </c>
      <c r="G47" s="4" t="s">
        <v>3</v>
      </c>
      <c r="H47" s="4" t="s">
        <v>4</v>
      </c>
      <c r="I47" s="4" t="s">
        <v>5</v>
      </c>
      <c r="J47" s="4" t="s">
        <v>6</v>
      </c>
      <c r="K47" s="4" t="s">
        <v>7</v>
      </c>
      <c r="L47" s="4" t="s">
        <v>8</v>
      </c>
      <c r="M47" s="4" t="s">
        <v>9</v>
      </c>
      <c r="N47" s="4" t="s">
        <v>10</v>
      </c>
      <c r="O47" s="4" t="s">
        <v>11</v>
      </c>
      <c r="P47" s="4" t="s">
        <v>12</v>
      </c>
      <c r="Q47" s="4" t="s">
        <v>13</v>
      </c>
      <c r="R47" s="4" t="s">
        <v>14</v>
      </c>
      <c r="S47" s="4" t="s">
        <v>15</v>
      </c>
      <c r="T47" s="4" t="s">
        <v>16</v>
      </c>
      <c r="U47" s="4" t="s">
        <v>17</v>
      </c>
      <c r="V47" s="4" t="s">
        <v>18</v>
      </c>
      <c r="W47" s="4" t="s">
        <v>19</v>
      </c>
      <c r="X47" s="4" t="s">
        <v>20</v>
      </c>
      <c r="Y47" s="4" t="s">
        <v>21</v>
      </c>
      <c r="Z47" s="4" t="s">
        <v>22</v>
      </c>
      <c r="AA47" s="4" t="s">
        <v>23</v>
      </c>
      <c r="AB47" s="4" t="s">
        <v>24</v>
      </c>
      <c r="AC47" s="4" t="s">
        <v>25</v>
      </c>
      <c r="AD47" s="4" t="s">
        <v>26</v>
      </c>
      <c r="AE47" s="4" t="s">
        <v>27</v>
      </c>
      <c r="AF47" s="4" t="s">
        <v>32</v>
      </c>
      <c r="AG47" s="4" t="s">
        <v>33</v>
      </c>
    </row>
    <row r="48" spans="1:33">
      <c r="A48" s="4" t="s">
        <v>34</v>
      </c>
      <c r="B48" s="34">
        <f>IF('Instrucciones de uso'!A58&gt;'Instrucciones de uso'!L58,'Instrucciones de uso'!L58,'Instrucciones de uso'!A58)</f>
        <v>2019</v>
      </c>
      <c r="C48" s="35">
        <f>VLOOKUP(B48,'Instrucciones de uso'!$B$52:$E$61,4)</f>
        <v>2586.5845856249994</v>
      </c>
      <c r="D48" s="12">
        <f>IF($B46-$B$4&gt;=1,12*$I49,($B46-$B$4)*12*$I49)</f>
        <v>6600</v>
      </c>
      <c r="E48" s="12">
        <f>IF($B46-$B$4&gt;=2,12*$I49*1.0025,IF(AND($B46-$B$4&gt;1,$B46-$B$4&lt;2),($B46-$B$4-1)*12*$I49*1.0025,0))</f>
        <v>3308.25</v>
      </c>
      <c r="F48" s="12">
        <f>IF($B46-$B$4&gt;=3,12*$I49*1.0025*1.0025,IF(AND($B46-$B$4&gt;2,$B46-$B$4&lt;3),($B46-$B$4-2)*12*$I49*1.0025*1.0025,0))</f>
        <v>0</v>
      </c>
      <c r="G48" s="12">
        <f>IF($B46-$B$4&gt;=4,12*$I49*1.0025*1.0025*1.0025,IF(AND($B46-$B$4&gt;3,$B46-$B$4&lt;4),($B46-$B$4-3)*12*$I49*1.0025*1.0025*1.0025,0))</f>
        <v>0</v>
      </c>
      <c r="H48" s="14" t="s">
        <v>122</v>
      </c>
      <c r="I48" s="7"/>
    </row>
    <row r="49" spans="1:33">
      <c r="A49" s="4" t="s">
        <v>107</v>
      </c>
      <c r="B49" s="30">
        <f>VLOOKUP(B48,'Instrucciones de uso'!$B$52:$F$61,5)</f>
        <v>0.99422774966142702</v>
      </c>
      <c r="C49" s="6">
        <f>C48*(100-(0.5*C47))/100</f>
        <v>2547.7858168406242</v>
      </c>
      <c r="D49" s="4" t="s">
        <v>123</v>
      </c>
      <c r="H49" s="8" t="s">
        <v>58</v>
      </c>
      <c r="I49" s="15">
        <f>'Instrucciones de uso'!$H$12</f>
        <v>550</v>
      </c>
    </row>
    <row r="50" spans="1:33">
      <c r="A50" s="8" t="s">
        <v>29</v>
      </c>
      <c r="B50" s="9">
        <f>IF(F46=1,(100-(C47*2))/100,IF(F46=2,(100-(C47*1.875))/100,IF(F46=3,(100-(C47*1.75))/100,(100-(C47*1.625))/100)))</f>
        <v>0.94</v>
      </c>
      <c r="C50" s="10">
        <f>MIN(B47*B49*B50,C49)</f>
        <v>2547.7858168406242</v>
      </c>
      <c r="D50" s="6">
        <f>IF(B46-$B$4&gt;=1,0,C50*14*(1-(B46-$B$4)))</f>
        <v>0</v>
      </c>
      <c r="E50" s="6">
        <f>IF(D50&gt;0,C50*14*1.0025,IF(B46-$B$4&gt;=2,0,C50*14*1.0025*(1-(B46-$B$4-1))))</f>
        <v>17879.08696967908</v>
      </c>
      <c r="F50" s="6">
        <f>IF(E50&gt;0,C50*14*1.0025*1.0025,IF(B46-$B$4&gt;=3,0,C50*14*1.0025*1.0025*(1-(B46-$B$4-2))))</f>
        <v>35847.569374206556</v>
      </c>
      <c r="G50" s="6">
        <f>IF(F50&gt;0,C50*14*1.0025*1.0025*1.0025,IF(B46-$B$4&gt;=4,0,C50*14*1.0025*1.0025*1.0025*(1-(B46-$B$4-3))))</f>
        <v>35937.188297642067</v>
      </c>
      <c r="H50" s="6">
        <f>IF(G50&gt;0,C50*14*1.0025*1.0025*1.0025*1.0025,IF(B46-$B$4&gt;=5,0,C50*14*1.0025*1.0025*1.0025*1.0025*(1-(B46-$B$4-4))))</f>
        <v>36027.03126838617</v>
      </c>
      <c r="I50" s="6">
        <f t="shared" ref="I50:AG50" si="20">H50*1.0025</f>
        <v>36117.098846557135</v>
      </c>
      <c r="J50" s="6">
        <f t="shared" si="20"/>
        <v>36207.391593673528</v>
      </c>
      <c r="K50" s="6">
        <f t="shared" si="20"/>
        <v>36297.910072657709</v>
      </c>
      <c r="L50" s="6">
        <f t="shared" si="20"/>
        <v>36388.654847839352</v>
      </c>
      <c r="M50" s="6">
        <f t="shared" si="20"/>
        <v>36479.62648495895</v>
      </c>
      <c r="N50" s="6">
        <f t="shared" si="20"/>
        <v>36570.825551171343</v>
      </c>
      <c r="O50" s="6">
        <f t="shared" si="20"/>
        <v>36662.25261504927</v>
      </c>
      <c r="P50" s="6">
        <f t="shared" si="20"/>
        <v>36753.908246586892</v>
      </c>
      <c r="Q50" s="6">
        <f t="shared" si="20"/>
        <v>36845.793017203359</v>
      </c>
      <c r="R50" s="6">
        <f t="shared" si="20"/>
        <v>36937.907499746369</v>
      </c>
      <c r="S50" s="6">
        <f t="shared" si="20"/>
        <v>37030.252268495729</v>
      </c>
      <c r="T50" s="6">
        <f t="shared" si="20"/>
        <v>37122.827899166965</v>
      </c>
      <c r="U50" s="6">
        <f t="shared" si="20"/>
        <v>37215.634968914877</v>
      </c>
      <c r="V50" s="6">
        <f t="shared" si="20"/>
        <v>37308.674056337164</v>
      </c>
      <c r="W50" s="6">
        <f t="shared" si="20"/>
        <v>37401.945741478004</v>
      </c>
      <c r="X50" s="6">
        <f t="shared" si="20"/>
        <v>37495.450605831698</v>
      </c>
      <c r="Y50" s="6">
        <f t="shared" si="20"/>
        <v>37589.189232346274</v>
      </c>
      <c r="Z50" s="6">
        <f t="shared" si="20"/>
        <v>37683.162205427136</v>
      </c>
      <c r="AA50" s="6">
        <f t="shared" si="20"/>
        <v>37777.370110940705</v>
      </c>
      <c r="AB50" s="6">
        <f t="shared" si="20"/>
        <v>37871.813536218055</v>
      </c>
      <c r="AC50" s="6">
        <f t="shared" si="20"/>
        <v>37966.493070058597</v>
      </c>
      <c r="AD50" s="6">
        <f t="shared" si="20"/>
        <v>38061.409302733744</v>
      </c>
      <c r="AE50" s="6">
        <f t="shared" si="20"/>
        <v>38156.562825990579</v>
      </c>
      <c r="AF50" s="6">
        <f t="shared" si="20"/>
        <v>38251.954233055556</v>
      </c>
      <c r="AG50" s="6">
        <f t="shared" si="20"/>
        <v>38347.584118638195</v>
      </c>
    </row>
    <row r="51" spans="1:33">
      <c r="A51" s="4" t="s">
        <v>52</v>
      </c>
      <c r="B51" s="6">
        <f>C49-C50</f>
        <v>0</v>
      </c>
      <c r="C51" s="4" t="s">
        <v>57</v>
      </c>
      <c r="D51" s="6">
        <f>D50-D48</f>
        <v>-6600</v>
      </c>
      <c r="E51" s="6">
        <f>D51+E50-E48</f>
        <v>7970.8369696790796</v>
      </c>
      <c r="F51" s="6">
        <f t="shared" ref="F51:G51" si="21">E51+F50-F48</f>
        <v>43818.406343885639</v>
      </c>
      <c r="G51" s="6">
        <f t="shared" si="21"/>
        <v>79755.594641527714</v>
      </c>
      <c r="H51" s="6">
        <f t="shared" ref="H51:AG51" si="22">G51+H50</f>
        <v>115782.62590991388</v>
      </c>
      <c r="I51" s="6">
        <f t="shared" si="22"/>
        <v>151899.72475647103</v>
      </c>
      <c r="J51" s="6">
        <f t="shared" si="22"/>
        <v>188107.11635014456</v>
      </c>
      <c r="K51" s="6">
        <f t="shared" si="22"/>
        <v>224405.02642280227</v>
      </c>
      <c r="L51" s="6">
        <f t="shared" si="22"/>
        <v>260793.68127064162</v>
      </c>
      <c r="M51" s="6">
        <f t="shared" si="22"/>
        <v>297273.30775560054</v>
      </c>
      <c r="N51" s="6">
        <f t="shared" si="22"/>
        <v>333844.13330677187</v>
      </c>
      <c r="O51" s="6">
        <f t="shared" si="22"/>
        <v>370506.38592182111</v>
      </c>
      <c r="P51" s="6">
        <f t="shared" si="22"/>
        <v>407260.29416840803</v>
      </c>
      <c r="Q51" s="6">
        <f t="shared" si="22"/>
        <v>444106.08718561137</v>
      </c>
      <c r="R51" s="6">
        <f t="shared" si="22"/>
        <v>481043.99468535773</v>
      </c>
      <c r="S51" s="6">
        <f t="shared" si="22"/>
        <v>518074.24695385346</v>
      </c>
      <c r="T51" s="6">
        <f t="shared" si="22"/>
        <v>555197.07485302049</v>
      </c>
      <c r="U51" s="6">
        <f t="shared" si="22"/>
        <v>592412.70982193539</v>
      </c>
      <c r="V51" s="6">
        <f t="shared" si="22"/>
        <v>629721.38387827261</v>
      </c>
      <c r="W51" s="6">
        <f t="shared" si="22"/>
        <v>667123.32961975061</v>
      </c>
      <c r="X51" s="6">
        <f t="shared" si="22"/>
        <v>704618.7802255823</v>
      </c>
      <c r="Y51" s="6">
        <f t="shared" si="22"/>
        <v>742207.96945792856</v>
      </c>
      <c r="Z51" s="6">
        <f t="shared" si="22"/>
        <v>779891.13166335574</v>
      </c>
      <c r="AA51" s="6">
        <f t="shared" si="22"/>
        <v>817668.5017742964</v>
      </c>
      <c r="AB51" s="6">
        <f t="shared" si="22"/>
        <v>855540.31531051442</v>
      </c>
      <c r="AC51" s="6">
        <f t="shared" si="22"/>
        <v>893506.80838057306</v>
      </c>
      <c r="AD51" s="6">
        <f t="shared" si="22"/>
        <v>931568.21768330678</v>
      </c>
      <c r="AE51" s="6">
        <f t="shared" si="22"/>
        <v>969724.78050929739</v>
      </c>
      <c r="AF51" s="6">
        <f t="shared" si="22"/>
        <v>1007976.734742353</v>
      </c>
      <c r="AG51" s="6">
        <f t="shared" si="22"/>
        <v>1046324.3188609912</v>
      </c>
    </row>
    <row r="52" spans="1:33">
      <c r="B52" s="3"/>
      <c r="D52" s="3"/>
      <c r="E52" s="3"/>
      <c r="F52" s="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8" customHeight="1">
      <c r="A53" s="4" t="s">
        <v>31</v>
      </c>
      <c r="B53" s="5">
        <f>IF($B$4+(0.25*7)&gt;J53,J53,($B$4+(0.25*7)))</f>
        <v>65</v>
      </c>
      <c r="C53" s="4" t="s">
        <v>30</v>
      </c>
      <c r="D53" s="8" t="s">
        <v>124</v>
      </c>
      <c r="E53" s="13">
        <f>'Instrucciones de uso'!P59</f>
        <v>35.549999999999997</v>
      </c>
      <c r="F53" s="31">
        <f>'Instrucciones de uso'!Q59</f>
        <v>1</v>
      </c>
      <c r="G53" s="4" t="s">
        <v>126</v>
      </c>
      <c r="H53" s="8" t="s">
        <v>125</v>
      </c>
      <c r="I53" s="11"/>
      <c r="J53" s="13">
        <f>'Instrucciones de uso'!K59</f>
        <v>65.833299999999994</v>
      </c>
    </row>
    <row r="54" spans="1:33">
      <c r="A54" s="4" t="s">
        <v>28</v>
      </c>
      <c r="B54" s="32">
        <f>'Instrucciones de uso'!$E$12*B56</f>
        <v>2767.7686909511108</v>
      </c>
      <c r="C54" s="33">
        <f>INT((J53-B53)*4)</f>
        <v>3</v>
      </c>
      <c r="D54" s="4" t="s">
        <v>0</v>
      </c>
      <c r="E54" s="4" t="s">
        <v>1</v>
      </c>
      <c r="F54" s="4" t="s">
        <v>2</v>
      </c>
      <c r="G54" s="4" t="s">
        <v>3</v>
      </c>
      <c r="H54" s="4" t="s">
        <v>4</v>
      </c>
      <c r="I54" s="4" t="s">
        <v>5</v>
      </c>
      <c r="J54" s="4" t="s">
        <v>6</v>
      </c>
      <c r="K54" s="4" t="s">
        <v>7</v>
      </c>
      <c r="L54" s="4" t="s">
        <v>8</v>
      </c>
      <c r="M54" s="4" t="s">
        <v>9</v>
      </c>
      <c r="N54" s="4" t="s">
        <v>10</v>
      </c>
      <c r="O54" s="4" t="s">
        <v>11</v>
      </c>
      <c r="P54" s="4" t="s">
        <v>12</v>
      </c>
      <c r="Q54" s="4" t="s">
        <v>13</v>
      </c>
      <c r="R54" s="4" t="s">
        <v>14</v>
      </c>
      <c r="S54" s="4" t="s">
        <v>15</v>
      </c>
      <c r="T54" s="4" t="s">
        <v>16</v>
      </c>
      <c r="U54" s="4" t="s">
        <v>17</v>
      </c>
      <c r="V54" s="4" t="s">
        <v>18</v>
      </c>
      <c r="W54" s="4" t="s">
        <v>19</v>
      </c>
      <c r="X54" s="4" t="s">
        <v>20</v>
      </c>
      <c r="Y54" s="4" t="s">
        <v>21</v>
      </c>
      <c r="Z54" s="4" t="s">
        <v>22</v>
      </c>
      <c r="AA54" s="4" t="s">
        <v>23</v>
      </c>
      <c r="AB54" s="4" t="s">
        <v>24</v>
      </c>
      <c r="AC54" s="4" t="s">
        <v>25</v>
      </c>
      <c r="AD54" s="4" t="s">
        <v>26</v>
      </c>
      <c r="AE54" s="4" t="s">
        <v>27</v>
      </c>
      <c r="AF54" s="4" t="s">
        <v>32</v>
      </c>
      <c r="AG54" s="4" t="s">
        <v>33</v>
      </c>
    </row>
    <row r="55" spans="1:33">
      <c r="A55" s="4" t="s">
        <v>34</v>
      </c>
      <c r="B55" s="34">
        <f>IF('Instrucciones de uso'!A59&gt;'Instrucciones de uso'!L59,'Instrucciones de uso'!L59,'Instrucciones de uso'!A59)</f>
        <v>2020</v>
      </c>
      <c r="C55" s="35">
        <f>VLOOKUP(B55,'Instrucciones de uso'!$B$52:$E$61,4)</f>
        <v>2593.0510470890617</v>
      </c>
      <c r="D55" s="12">
        <f>IF($B53-$B$4&gt;=1,12*$I56,($B53-$B$4)*12*$I56)</f>
        <v>6600</v>
      </c>
      <c r="E55" s="12">
        <f>IF($B53-$B$4&gt;=2,12*$I56*1.0025,IF(AND($B53-$B$4&gt;1,$B53-$B$4&lt;2),($B53-$B$4-1)*12*$I56*1.0025,0))</f>
        <v>4962.375</v>
      </c>
      <c r="F55" s="12">
        <f>IF($B53-$B$4&gt;=3,12*$I56*1.0025*1.0025,IF(AND($B53-$B$4&gt;2,$B53-$B$4&lt;3),($B53-$B$4-2)*12*$I56*1.0025*1.0025,0))</f>
        <v>0</v>
      </c>
      <c r="G55" s="12">
        <f>IF($B53-$B$4&gt;=4,12*$I56*1.0025*1.0025*1.0025,IF(AND($B53-$B$4&gt;3,$B53-$B$4&lt;4),($B53-$B$4-3)*12*$I56*1.0025*1.0025*1.0025,0))</f>
        <v>0</v>
      </c>
      <c r="H55" s="14" t="s">
        <v>122</v>
      </c>
      <c r="I55" s="7"/>
    </row>
    <row r="56" spans="1:33">
      <c r="A56" s="4" t="s">
        <v>107</v>
      </c>
      <c r="B56" s="30">
        <f>VLOOKUP(B55,'Instrucciones de uso'!$B$52:$F$61,5)</f>
        <v>0.98848881819682521</v>
      </c>
      <c r="C56" s="6">
        <f>C55*(100-(0.5*C54))/100</f>
        <v>2554.1552813827257</v>
      </c>
      <c r="D56" s="4" t="s">
        <v>123</v>
      </c>
      <c r="H56" s="8" t="s">
        <v>58</v>
      </c>
      <c r="I56" s="15">
        <f>'Instrucciones de uso'!$H$12</f>
        <v>550</v>
      </c>
    </row>
    <row r="57" spans="1:33">
      <c r="A57" s="8" t="s">
        <v>29</v>
      </c>
      <c r="B57" s="9">
        <f>IF(F53=1,(100-(C54*2))/100,IF(F53=2,(100-(C54*1.875))/100,IF(F53=3,(100-(C54*1.75))/100,(100-(C54*1.625))/100)))</f>
        <v>0.94</v>
      </c>
      <c r="C57" s="10">
        <f>MIN(B54*B56*B57,C56)</f>
        <v>2554.1552813827257</v>
      </c>
      <c r="D57" s="6">
        <f>IF(B53-$B$4&gt;=1,0,C57*14*(1-(B53-$B$4)))</f>
        <v>0</v>
      </c>
      <c r="E57" s="6">
        <f>IF(D57&gt;0,C57*14*1.0025,IF(B53-$B$4&gt;=2,0,C57*14*1.0025*(1-(B53-$B$4-1))))</f>
        <v>8961.892343551639</v>
      </c>
      <c r="F57" s="6">
        <f>IF(E57&gt;0,C57*14*1.0025*1.0025,IF(B53-$B$4&gt;=3,0,C57*14*1.0025*1.0025*(1-(B53-$B$4-2))))</f>
        <v>35937.188297642067</v>
      </c>
      <c r="G57" s="6">
        <f>IF(F57&gt;0,C57*14*1.0025*1.0025*1.0025,IF(B53-$B$4&gt;=4,0,C57*14*1.0025*1.0025*1.0025*(1-(B53-$B$4-3))))</f>
        <v>36027.03126838617</v>
      </c>
      <c r="H57" s="6">
        <f>IF(G57&gt;0,C57*14*1.0025*1.0025*1.0025*1.0025,IF(B53-$B$4&gt;=5,0,C57*14*1.0025*1.0025*1.0025*1.0025*(1-(B53-$B$4-4))))</f>
        <v>36117.098846557135</v>
      </c>
      <c r="I57" s="6">
        <f t="shared" ref="I57:AG57" si="23">H57*1.0025</f>
        <v>36207.391593673528</v>
      </c>
      <c r="J57" s="6">
        <f t="shared" si="23"/>
        <v>36297.910072657709</v>
      </c>
      <c r="K57" s="6">
        <f t="shared" si="23"/>
        <v>36388.654847839352</v>
      </c>
      <c r="L57" s="6">
        <f t="shared" si="23"/>
        <v>36479.62648495895</v>
      </c>
      <c r="M57" s="6">
        <f t="shared" si="23"/>
        <v>36570.825551171343</v>
      </c>
      <c r="N57" s="6">
        <f t="shared" si="23"/>
        <v>36662.25261504927</v>
      </c>
      <c r="O57" s="6">
        <f t="shared" si="23"/>
        <v>36753.908246586892</v>
      </c>
      <c r="P57" s="6">
        <f t="shared" si="23"/>
        <v>36845.793017203359</v>
      </c>
      <c r="Q57" s="6">
        <f t="shared" si="23"/>
        <v>36937.907499746369</v>
      </c>
      <c r="R57" s="6">
        <f t="shared" si="23"/>
        <v>37030.252268495729</v>
      </c>
      <c r="S57" s="6">
        <f t="shared" si="23"/>
        <v>37122.827899166965</v>
      </c>
      <c r="T57" s="6">
        <f t="shared" si="23"/>
        <v>37215.634968914877</v>
      </c>
      <c r="U57" s="6">
        <f t="shared" si="23"/>
        <v>37308.674056337164</v>
      </c>
      <c r="V57" s="6">
        <f t="shared" si="23"/>
        <v>37401.945741478004</v>
      </c>
      <c r="W57" s="6">
        <f t="shared" si="23"/>
        <v>37495.450605831698</v>
      </c>
      <c r="X57" s="6">
        <f t="shared" si="23"/>
        <v>37589.189232346274</v>
      </c>
      <c r="Y57" s="6">
        <f t="shared" si="23"/>
        <v>37683.162205427136</v>
      </c>
      <c r="Z57" s="6">
        <f t="shared" si="23"/>
        <v>37777.370110940705</v>
      </c>
      <c r="AA57" s="6">
        <f t="shared" si="23"/>
        <v>37871.813536218055</v>
      </c>
      <c r="AB57" s="6">
        <f t="shared" si="23"/>
        <v>37966.493070058597</v>
      </c>
      <c r="AC57" s="6">
        <f t="shared" si="23"/>
        <v>38061.409302733744</v>
      </c>
      <c r="AD57" s="6">
        <f t="shared" si="23"/>
        <v>38156.562825990579</v>
      </c>
      <c r="AE57" s="6">
        <f t="shared" si="23"/>
        <v>38251.954233055556</v>
      </c>
      <c r="AF57" s="6">
        <f t="shared" si="23"/>
        <v>38347.584118638195</v>
      </c>
      <c r="AG57" s="6">
        <f t="shared" si="23"/>
        <v>38443.453078934792</v>
      </c>
    </row>
    <row r="58" spans="1:33">
      <c r="A58" s="4" t="s">
        <v>52</v>
      </c>
      <c r="B58" s="6">
        <f>C56-C57</f>
        <v>0</v>
      </c>
      <c r="C58" s="4" t="s">
        <v>57</v>
      </c>
      <c r="D58" s="6">
        <f>D57-D55</f>
        <v>-6600</v>
      </c>
      <c r="E58" s="6">
        <f>D58+E57-E55</f>
        <v>-2600.482656448361</v>
      </c>
      <c r="F58" s="6">
        <f t="shared" ref="F58:G58" si="24">E58+F57-F55</f>
        <v>33336.705641193708</v>
      </c>
      <c r="G58" s="6">
        <f t="shared" si="24"/>
        <v>69363.736909579879</v>
      </c>
      <c r="H58" s="6">
        <f t="shared" ref="H58:AG58" si="25">G58+H57</f>
        <v>105480.83575613701</v>
      </c>
      <c r="I58" s="6">
        <f t="shared" si="25"/>
        <v>141688.22734981054</v>
      </c>
      <c r="J58" s="6">
        <f t="shared" si="25"/>
        <v>177986.13742246825</v>
      </c>
      <c r="K58" s="6">
        <f t="shared" si="25"/>
        <v>214374.7922703076</v>
      </c>
      <c r="L58" s="6">
        <f t="shared" si="25"/>
        <v>250854.41875526655</v>
      </c>
      <c r="M58" s="6">
        <f t="shared" si="25"/>
        <v>287425.2443064379</v>
      </c>
      <c r="N58" s="6">
        <f t="shared" si="25"/>
        <v>324087.49692148715</v>
      </c>
      <c r="O58" s="6">
        <f t="shared" si="25"/>
        <v>360841.40516807407</v>
      </c>
      <c r="P58" s="6">
        <f t="shared" si="25"/>
        <v>397687.1981852774</v>
      </c>
      <c r="Q58" s="6">
        <f t="shared" si="25"/>
        <v>434625.10568502377</v>
      </c>
      <c r="R58" s="6">
        <f t="shared" si="25"/>
        <v>471655.3579535195</v>
      </c>
      <c r="S58" s="6">
        <f t="shared" si="25"/>
        <v>508778.18585268647</v>
      </c>
      <c r="T58" s="6">
        <f t="shared" si="25"/>
        <v>545993.82082160132</v>
      </c>
      <c r="U58" s="6">
        <f t="shared" si="25"/>
        <v>583302.49487793853</v>
      </c>
      <c r="V58" s="6">
        <f t="shared" si="25"/>
        <v>620704.44061941653</v>
      </c>
      <c r="W58" s="6">
        <f t="shared" si="25"/>
        <v>658199.89122524823</v>
      </c>
      <c r="X58" s="6">
        <f t="shared" si="25"/>
        <v>695789.08045759448</v>
      </c>
      <c r="Y58" s="6">
        <f t="shared" si="25"/>
        <v>733472.24266302167</v>
      </c>
      <c r="Z58" s="6">
        <f t="shared" si="25"/>
        <v>771249.61277396232</v>
      </c>
      <c r="AA58" s="6">
        <f t="shared" si="25"/>
        <v>809121.42631018034</v>
      </c>
      <c r="AB58" s="6">
        <f t="shared" si="25"/>
        <v>847087.91938023898</v>
      </c>
      <c r="AC58" s="6">
        <f t="shared" si="25"/>
        <v>885149.3286829727</v>
      </c>
      <c r="AD58" s="6">
        <f t="shared" si="25"/>
        <v>923305.89150896331</v>
      </c>
      <c r="AE58" s="6">
        <f t="shared" si="25"/>
        <v>961557.84574201889</v>
      </c>
      <c r="AF58" s="6">
        <f t="shared" si="25"/>
        <v>999905.42986065708</v>
      </c>
      <c r="AG58" s="6">
        <f t="shared" si="25"/>
        <v>1038348.8829395919</v>
      </c>
    </row>
    <row r="59" spans="1:33">
      <c r="B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8" customHeight="1">
      <c r="A60" s="4" t="s">
        <v>31</v>
      </c>
      <c r="B60" s="5">
        <f>IF($B$4+(0.25*8)&gt;J60,J60,($B$4+(0.25*8)))</f>
        <v>65.25</v>
      </c>
      <c r="C60" s="4" t="s">
        <v>30</v>
      </c>
      <c r="D60" s="8" t="s">
        <v>124</v>
      </c>
      <c r="E60" s="13">
        <f>'Instrucciones de uso'!P60</f>
        <v>35.799999999999997</v>
      </c>
      <c r="F60" s="31">
        <f>'Instrucciones de uso'!Q60</f>
        <v>1</v>
      </c>
      <c r="G60" s="4" t="s">
        <v>126</v>
      </c>
      <c r="H60" s="8" t="s">
        <v>125</v>
      </c>
      <c r="I60" s="11"/>
      <c r="J60" s="13">
        <f>'Instrucciones de uso'!K60</f>
        <v>65.833299999999994</v>
      </c>
    </row>
    <row r="61" spans="1:33">
      <c r="A61" s="4" t="s">
        <v>28</v>
      </c>
      <c r="B61" s="32">
        <f>'Instrucciones de uso'!$E$12*B63</f>
        <v>2767.7686909511108</v>
      </c>
      <c r="C61" s="33">
        <f>INT((J60-B60)*4)</f>
        <v>2</v>
      </c>
      <c r="D61" s="4" t="s">
        <v>0</v>
      </c>
      <c r="E61" s="4" t="s">
        <v>1</v>
      </c>
      <c r="F61" s="4" t="s">
        <v>2</v>
      </c>
      <c r="G61" s="4" t="s">
        <v>3</v>
      </c>
      <c r="H61" s="4" t="s">
        <v>4</v>
      </c>
      <c r="I61" s="4" t="s">
        <v>5</v>
      </c>
      <c r="J61" s="4" t="s">
        <v>6</v>
      </c>
      <c r="K61" s="4" t="s">
        <v>7</v>
      </c>
      <c r="L61" s="4" t="s">
        <v>8</v>
      </c>
      <c r="M61" s="4" t="s">
        <v>9</v>
      </c>
      <c r="N61" s="4" t="s">
        <v>10</v>
      </c>
      <c r="O61" s="4" t="s">
        <v>11</v>
      </c>
      <c r="P61" s="4" t="s">
        <v>12</v>
      </c>
      <c r="Q61" s="4" t="s">
        <v>13</v>
      </c>
      <c r="R61" s="4" t="s">
        <v>14</v>
      </c>
      <c r="S61" s="4" t="s">
        <v>15</v>
      </c>
      <c r="T61" s="4" t="s">
        <v>16</v>
      </c>
      <c r="U61" s="4" t="s">
        <v>17</v>
      </c>
      <c r="V61" s="4" t="s">
        <v>18</v>
      </c>
      <c r="W61" s="4" t="s">
        <v>19</v>
      </c>
      <c r="X61" s="4" t="s">
        <v>20</v>
      </c>
      <c r="Y61" s="4" t="s">
        <v>21</v>
      </c>
      <c r="Z61" s="4" t="s">
        <v>22</v>
      </c>
      <c r="AA61" s="4" t="s">
        <v>23</v>
      </c>
      <c r="AB61" s="4" t="s">
        <v>24</v>
      </c>
      <c r="AC61" s="4" t="s">
        <v>25</v>
      </c>
      <c r="AD61" s="4" t="s">
        <v>26</v>
      </c>
      <c r="AE61" s="4" t="s">
        <v>27</v>
      </c>
      <c r="AF61" s="4" t="s">
        <v>32</v>
      </c>
      <c r="AG61" s="4" t="s">
        <v>33</v>
      </c>
    </row>
    <row r="62" spans="1:33">
      <c r="A62" s="4" t="s">
        <v>34</v>
      </c>
      <c r="B62" s="34">
        <f>IF('Instrucciones de uso'!A60&gt;'Instrucciones de uso'!L60,'Instrucciones de uso'!L60,'Instrucciones de uso'!A60)</f>
        <v>2020</v>
      </c>
      <c r="C62" s="35">
        <f>VLOOKUP(B62,'Instrucciones de uso'!$B$52:$E$61,4)</f>
        <v>2593.0510470890617</v>
      </c>
      <c r="D62" s="12">
        <f>IF($B60-$B$4&gt;=1,12*$I63,($B60-$B$4)*12*$I63)</f>
        <v>6600</v>
      </c>
      <c r="E62" s="12">
        <f>IF($B60-$B$4&gt;=2,12*$I63*1.0025,IF(AND($B60-$B$4&gt;1,$B60-$B$4&lt;2),($B60-$B$4-1)*12*$I63*1.0025,0))</f>
        <v>6616.5</v>
      </c>
      <c r="F62" s="12">
        <f>IF($B60-$B$4&gt;=3,12*$I63*1.0025*1.0025,IF(AND($B60-$B$4&gt;2,$B60-$B$4&lt;3),($B60-$B$4-2)*12*$I63*1.0025*1.0025,0))</f>
        <v>0</v>
      </c>
      <c r="G62" s="12">
        <f>IF($B60-$B$4&gt;=4,12*$I63*1.0025*1.0025*1.0025,IF(AND($B60-$B$4&gt;3,$B60-$B$4&lt;4),($B60-$B$4-3)*12*$I63*1.0025*1.0025*1.0025,0))</f>
        <v>0</v>
      </c>
      <c r="H62" s="14" t="s">
        <v>122</v>
      </c>
      <c r="I62" s="7"/>
    </row>
    <row r="63" spans="1:33">
      <c r="A63" s="4" t="s">
        <v>107</v>
      </c>
      <c r="B63" s="30">
        <f>VLOOKUP(B62,'Instrucciones de uso'!$B$52:$F$61,5)</f>
        <v>0.98848881819682521</v>
      </c>
      <c r="C63" s="6">
        <f>C62*(100-(0.5*C61))/100</f>
        <v>2567.1205366181712</v>
      </c>
      <c r="D63" s="4" t="s">
        <v>123</v>
      </c>
      <c r="H63" s="8" t="s">
        <v>58</v>
      </c>
      <c r="I63" s="15">
        <f>'Instrucciones de uso'!$H$12</f>
        <v>550</v>
      </c>
    </row>
    <row r="64" spans="1:33">
      <c r="A64" s="8" t="s">
        <v>29</v>
      </c>
      <c r="B64" s="9">
        <f>IF(F60=1,(100-(C61*2))/100,IF(F60=2,(100-(C61*1.875))/100,IF(F60=3,(100-(C61*1.75))/100,(100-(C61*1.625))/100)))</f>
        <v>0.96</v>
      </c>
      <c r="C64" s="10">
        <f>MIN(B61*B63*B64,C63)</f>
        <v>2567.1205366181712</v>
      </c>
      <c r="D64" s="6">
        <f>IF(B60-$B$4&gt;=1,0,C64*14*(1-(B60-$B$4)))</f>
        <v>0</v>
      </c>
      <c r="E64" s="6">
        <f>IF(D64&gt;0,C64*14*1.0025,IF(B60-$B$4&gt;=2,0,C64*14*1.0025*(1-(B60-$B$4-1))))</f>
        <v>0</v>
      </c>
      <c r="F64" s="6">
        <f>IF(E64&gt;0,C64*14*1.0025*1.0025,IF(B60-$B$4&gt;=3,0,C64*14*1.0025*1.0025*(1-(B60-$B$4-2))))</f>
        <v>36119.610573264625</v>
      </c>
      <c r="G64" s="6">
        <f>IF(F64&gt;0,C64*14*1.0025*1.0025*1.0025,IF(B60-$B$4&gt;=4,0,C64*14*1.0025*1.0025*1.0025*(1-(B60-$B$4-3))))</f>
        <v>36209.909599697785</v>
      </c>
      <c r="H64" s="6">
        <f>IF(G64&gt;0,C64*14*1.0025*1.0025*1.0025*1.0025,IF(B60-$B$4&gt;=5,0,C64*14*1.0025*1.0025*1.0025*1.0025*(1-(B60-$B$4-4))))</f>
        <v>36300.434373697026</v>
      </c>
      <c r="I64" s="6">
        <f t="shared" ref="I64:AG64" si="26">H64*1.0025</f>
        <v>36391.18545963127</v>
      </c>
      <c r="J64" s="6">
        <f t="shared" si="26"/>
        <v>36482.163423280348</v>
      </c>
      <c r="K64" s="6">
        <f t="shared" si="26"/>
        <v>36573.368831838547</v>
      </c>
      <c r="L64" s="6">
        <f t="shared" si="26"/>
        <v>36664.80225391814</v>
      </c>
      <c r="M64" s="6">
        <f t="shared" si="26"/>
        <v>36756.464259552937</v>
      </c>
      <c r="N64" s="6">
        <f t="shared" si="26"/>
        <v>36848.35542020182</v>
      </c>
      <c r="O64" s="6">
        <f t="shared" si="26"/>
        <v>36940.476308752324</v>
      </c>
      <c r="P64" s="6">
        <f t="shared" si="26"/>
        <v>37032.827499524203</v>
      </c>
      <c r="Q64" s="6">
        <f t="shared" si="26"/>
        <v>37125.409568273011</v>
      </c>
      <c r="R64" s="6">
        <f t="shared" si="26"/>
        <v>37218.223092193693</v>
      </c>
      <c r="S64" s="6">
        <f t="shared" si="26"/>
        <v>37311.268649924175</v>
      </c>
      <c r="T64" s="6">
        <f t="shared" si="26"/>
        <v>37404.546821548982</v>
      </c>
      <c r="U64" s="6">
        <f t="shared" si="26"/>
        <v>37498.058188602852</v>
      </c>
      <c r="V64" s="6">
        <f t="shared" si="26"/>
        <v>37591.803334074357</v>
      </c>
      <c r="W64" s="6">
        <f t="shared" si="26"/>
        <v>37685.782842409542</v>
      </c>
      <c r="X64" s="6">
        <f t="shared" si="26"/>
        <v>37779.997299515562</v>
      </c>
      <c r="Y64" s="6">
        <f t="shared" si="26"/>
        <v>37874.447292764351</v>
      </c>
      <c r="Z64" s="6">
        <f t="shared" si="26"/>
        <v>37969.133410996263</v>
      </c>
      <c r="AA64" s="6">
        <f t="shared" si="26"/>
        <v>38064.056244523752</v>
      </c>
      <c r="AB64" s="6">
        <f t="shared" si="26"/>
        <v>38159.216385135056</v>
      </c>
      <c r="AC64" s="6">
        <f t="shared" si="26"/>
        <v>38254.614426097891</v>
      </c>
      <c r="AD64" s="6">
        <f t="shared" si="26"/>
        <v>38350.250962163132</v>
      </c>
      <c r="AE64" s="6">
        <f t="shared" si="26"/>
        <v>38446.126589568536</v>
      </c>
      <c r="AF64" s="6">
        <f t="shared" si="26"/>
        <v>38542.241906042458</v>
      </c>
      <c r="AG64" s="6">
        <f t="shared" si="26"/>
        <v>38638.597510807565</v>
      </c>
    </row>
    <row r="65" spans="1:33">
      <c r="A65" s="4" t="s">
        <v>52</v>
      </c>
      <c r="B65" s="6">
        <f>C63-C64</f>
        <v>0</v>
      </c>
      <c r="C65" s="4" t="s">
        <v>57</v>
      </c>
      <c r="D65" s="6">
        <f>D64-D62</f>
        <v>-6600</v>
      </c>
      <c r="E65" s="6">
        <f>D65+E64-E62</f>
        <v>-13216.5</v>
      </c>
      <c r="F65" s="6">
        <f t="shared" ref="F65:G65" si="27">E65+F64-F62</f>
        <v>22903.110573264625</v>
      </c>
      <c r="G65" s="6">
        <f t="shared" si="27"/>
        <v>59113.02017296241</v>
      </c>
      <c r="H65" s="6">
        <f t="shared" ref="H65:AG65" si="28">G65+H64</f>
        <v>95413.454546659428</v>
      </c>
      <c r="I65" s="6">
        <f t="shared" si="28"/>
        <v>131804.64000629069</v>
      </c>
      <c r="J65" s="6">
        <f t="shared" si="28"/>
        <v>168286.80342957104</v>
      </c>
      <c r="K65" s="6">
        <f t="shared" si="28"/>
        <v>204860.17226140958</v>
      </c>
      <c r="L65" s="6">
        <f t="shared" si="28"/>
        <v>241524.97451532772</v>
      </c>
      <c r="M65" s="6">
        <f t="shared" si="28"/>
        <v>278281.43877488066</v>
      </c>
      <c r="N65" s="6">
        <f t="shared" si="28"/>
        <v>315129.7941950825</v>
      </c>
      <c r="O65" s="6">
        <f t="shared" si="28"/>
        <v>352070.27050383482</v>
      </c>
      <c r="P65" s="6">
        <f t="shared" si="28"/>
        <v>389103.09800335905</v>
      </c>
      <c r="Q65" s="6">
        <f t="shared" si="28"/>
        <v>426228.50757163204</v>
      </c>
      <c r="R65" s="6">
        <f t="shared" si="28"/>
        <v>463446.73066382576</v>
      </c>
      <c r="S65" s="6">
        <f t="shared" si="28"/>
        <v>500757.99931374996</v>
      </c>
      <c r="T65" s="6">
        <f t="shared" si="28"/>
        <v>538162.54613529891</v>
      </c>
      <c r="U65" s="6">
        <f t="shared" si="28"/>
        <v>575660.6043239017</v>
      </c>
      <c r="V65" s="6">
        <f t="shared" si="28"/>
        <v>613252.40765797603</v>
      </c>
      <c r="W65" s="6">
        <f t="shared" si="28"/>
        <v>650938.19050038559</v>
      </c>
      <c r="X65" s="6">
        <f t="shared" si="28"/>
        <v>688718.18779990112</v>
      </c>
      <c r="Y65" s="6">
        <f t="shared" si="28"/>
        <v>726592.63509266544</v>
      </c>
      <c r="Z65" s="6">
        <f t="shared" si="28"/>
        <v>764561.76850366173</v>
      </c>
      <c r="AA65" s="6">
        <f t="shared" si="28"/>
        <v>802625.82474818546</v>
      </c>
      <c r="AB65" s="6">
        <f t="shared" si="28"/>
        <v>840785.04113332054</v>
      </c>
      <c r="AC65" s="6">
        <f t="shared" si="28"/>
        <v>879039.65555941849</v>
      </c>
      <c r="AD65" s="6">
        <f t="shared" si="28"/>
        <v>917389.90652158158</v>
      </c>
      <c r="AE65" s="6">
        <f t="shared" si="28"/>
        <v>955836.03311115014</v>
      </c>
      <c r="AF65" s="6">
        <f t="shared" si="28"/>
        <v>994378.27501719259</v>
      </c>
      <c r="AG65" s="6">
        <f t="shared" si="28"/>
        <v>1033016.8725280002</v>
      </c>
    </row>
    <row r="66" spans="1:33">
      <c r="F66" s="1"/>
    </row>
    <row r="67" spans="1:33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</sheetData>
  <sheetProtection password="9862" sheet="1" objects="1" scenarios="1"/>
  <conditionalFormatting sqref="C5 C12 C19 C26 C33 C40 C47 C54 C61">
    <cfRule type="expression" dxfId="18" priority="19">
      <formula>$C$5&gt;16</formula>
    </cfRule>
  </conditionalFormatting>
  <conditionalFormatting sqref="E4">
    <cfRule type="expression" dxfId="17" priority="18">
      <formula>$E4&lt;35</formula>
    </cfRule>
  </conditionalFormatting>
  <conditionalFormatting sqref="B4">
    <cfRule type="expression" dxfId="16" priority="17">
      <formula>$C5&gt;8</formula>
    </cfRule>
  </conditionalFormatting>
  <conditionalFormatting sqref="E11">
    <cfRule type="expression" dxfId="15" priority="16">
      <formula>$E11&lt;35</formula>
    </cfRule>
  </conditionalFormatting>
  <conditionalFormatting sqref="B11">
    <cfRule type="expression" dxfId="14" priority="15">
      <formula>$C12&gt;8</formula>
    </cfRule>
  </conditionalFormatting>
  <conditionalFormatting sqref="E18">
    <cfRule type="expression" dxfId="13" priority="14">
      <formula>$E18&lt;35</formula>
    </cfRule>
  </conditionalFormatting>
  <conditionalFormatting sqref="B18">
    <cfRule type="expression" dxfId="12" priority="13">
      <formula>$C19&gt;8</formula>
    </cfRule>
  </conditionalFormatting>
  <conditionalFormatting sqref="E25">
    <cfRule type="expression" dxfId="11" priority="12">
      <formula>$E25&lt;35</formula>
    </cfRule>
  </conditionalFormatting>
  <conditionalFormatting sqref="B25">
    <cfRule type="expression" dxfId="10" priority="11">
      <formula>$C26&gt;8</formula>
    </cfRule>
  </conditionalFormatting>
  <conditionalFormatting sqref="E32">
    <cfRule type="expression" dxfId="9" priority="10">
      <formula>$E32&lt;35</formula>
    </cfRule>
  </conditionalFormatting>
  <conditionalFormatting sqref="B32">
    <cfRule type="expression" dxfId="8" priority="9">
      <formula>$C33&gt;8</formula>
    </cfRule>
  </conditionalFormatting>
  <conditionalFormatting sqref="E39">
    <cfRule type="expression" dxfId="7" priority="8">
      <formula>$E39&lt;35</formula>
    </cfRule>
  </conditionalFormatting>
  <conditionalFormatting sqref="B39">
    <cfRule type="expression" dxfId="6" priority="7">
      <formula>$C40&gt;8</formula>
    </cfRule>
  </conditionalFormatting>
  <conditionalFormatting sqref="E46">
    <cfRule type="expression" dxfId="5" priority="6">
      <formula>$E46&lt;35</formula>
    </cfRule>
  </conditionalFormatting>
  <conditionalFormatting sqref="B46">
    <cfRule type="expression" dxfId="4" priority="5">
      <formula>$C47&gt;8</formula>
    </cfRule>
  </conditionalFormatting>
  <conditionalFormatting sqref="E53">
    <cfRule type="expression" dxfId="3" priority="4">
      <formula>$E53&lt;35</formula>
    </cfRule>
  </conditionalFormatting>
  <conditionalFormatting sqref="B53">
    <cfRule type="expression" dxfId="2" priority="3">
      <formula>$C54&gt;8</formula>
    </cfRule>
  </conditionalFormatting>
  <conditionalFormatting sqref="E60">
    <cfRule type="expression" dxfId="1" priority="2">
      <formula>$E60&lt;35</formula>
    </cfRule>
  </conditionalFormatting>
  <conditionalFormatting sqref="B60">
    <cfRule type="expression" dxfId="0" priority="1">
      <formula>$C61&gt;8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 de uso</vt:lpstr>
      <vt:lpstr>Antic.C.Ajena</vt:lpstr>
      <vt:lpstr>Antic.Volunt.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.</cp:lastModifiedBy>
  <cp:lastPrinted>2017-12-12T14:52:27Z</cp:lastPrinted>
  <dcterms:created xsi:type="dcterms:W3CDTF">2013-05-19T11:51:12Z</dcterms:created>
  <dcterms:modified xsi:type="dcterms:W3CDTF">2018-03-18T15:35:07Z</dcterms:modified>
</cp:coreProperties>
</file>